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astharbourenergy.sharepoint.com/East Harbour Energy Ltd/Projects/Bioenergy Assoc/Publications/BANZ Technical Guides/Tech Guides - Approved/"/>
    </mc:Choice>
  </mc:AlternateContent>
  <xr:revisionPtr revIDLastSave="0" documentId="8_{DD275AD4-DB44-4CC5-BB99-2104D68F4A08}" xr6:coauthVersionLast="41" xr6:coauthVersionMax="41" xr10:uidLastSave="{00000000-0000-0000-0000-000000000000}"/>
  <workbookProtection workbookPassword="C9E6" lockStructure="1"/>
  <bookViews>
    <workbookView xWindow="-120" yWindow="-120" windowWidth="25440" windowHeight="15390" xr2:uid="{00000000-000D-0000-FFFF-FFFF00000000}"/>
  </bookViews>
  <sheets>
    <sheet name="Introduction" sheetId="56" r:id="rId1"/>
    <sheet name="Capital" sheetId="39" r:id="rId2"/>
    <sheet name="O&amp;M" sheetId="41" r:id="rId3"/>
    <sheet name="Fuel" sheetId="40" r:id="rId4"/>
    <sheet name="Inputs" sheetId="42" r:id="rId5"/>
    <sheet name="Outputs" sheetId="43" r:id="rId6"/>
    <sheet name="Option 1" sheetId="44" r:id="rId7"/>
    <sheet name="Option 2" sheetId="49" r:id="rId8"/>
    <sheet name="Option 3" sheetId="50" r:id="rId9"/>
    <sheet name="Option 4" sheetId="51" r:id="rId10"/>
    <sheet name="Option 5" sheetId="52" r:id="rId11"/>
    <sheet name="Option 6" sheetId="54" r:id="rId12"/>
    <sheet name="Option 7" sheetId="53" r:id="rId13"/>
    <sheet name="Sheet1" sheetId="57" r:id="rId14"/>
  </sheets>
  <definedNames>
    <definedName name="IRR" localSheetId="6">'Option 1'!$C$10:$AB$10</definedName>
    <definedName name="IRR" localSheetId="7">'Option 2'!$C$10:$AB$10</definedName>
    <definedName name="IRR" localSheetId="8">'Option 3'!$C$10:$AB$10</definedName>
    <definedName name="IRR" localSheetId="9">'Option 4'!$C$10:$AB$10</definedName>
    <definedName name="IRR" localSheetId="10">'Option 5'!$C$10:$AB$10</definedName>
    <definedName name="IRR" localSheetId="11">'Option 6'!$C$10:$AB$10</definedName>
    <definedName name="IRR" localSheetId="12">'Option 7'!$C$10:$AB$10</definedName>
    <definedName name="IRR">#REF!</definedName>
    <definedName name="_xlnm.Print_Area" localSheetId="6">'Option 1'!$B$2:$R$21</definedName>
    <definedName name="_xlnm.Print_Area" localSheetId="7">'Option 2'!$B$2:$R$21</definedName>
    <definedName name="_xlnm.Print_Area" localSheetId="8">'Option 3'!$B$2:$R$21</definedName>
    <definedName name="_xlnm.Print_Area" localSheetId="9">'Option 4'!$B$2:$R$21</definedName>
    <definedName name="_xlnm.Print_Area" localSheetId="10">'Option 5'!$B$2:$R$21</definedName>
    <definedName name="_xlnm.Print_Area" localSheetId="11">'Option 6'!$B$2:$R$21</definedName>
    <definedName name="_xlnm.Print_Area" localSheetId="12">'Option 7'!$B$2:$R$21</definedName>
    <definedName name="solver_adj" localSheetId="6" hidden="1">'Option 1'!#REF!</definedName>
    <definedName name="solver_adj" localSheetId="7" hidden="1">'Option 2'!#REF!</definedName>
    <definedName name="solver_adj" localSheetId="8" hidden="1">'Option 3'!#REF!</definedName>
    <definedName name="solver_adj" localSheetId="9" hidden="1">'Option 4'!#REF!</definedName>
    <definedName name="solver_adj" localSheetId="10" hidden="1">'Option 5'!#REF!</definedName>
    <definedName name="solver_adj" localSheetId="11" hidden="1">'Option 6'!#REF!</definedName>
    <definedName name="solver_adj" localSheetId="12" hidden="1">'Option 7'!#REF!</definedName>
    <definedName name="solver_cvg" localSheetId="6" hidden="1">0.0001</definedName>
    <definedName name="solver_cvg" localSheetId="7" hidden="1">0.0001</definedName>
    <definedName name="solver_cvg" localSheetId="8" hidden="1">0.0001</definedName>
    <definedName name="solver_cvg" localSheetId="9" hidden="1">0.0001</definedName>
    <definedName name="solver_cvg" localSheetId="10" hidden="1">0.0001</definedName>
    <definedName name="solver_cvg" localSheetId="11" hidden="1">0.0001</definedName>
    <definedName name="solver_cvg" localSheetId="12" hidden="1">0.0001</definedName>
    <definedName name="solver_drv" localSheetId="6" hidden="1">1</definedName>
    <definedName name="solver_drv" localSheetId="7" hidden="1">1</definedName>
    <definedName name="solver_drv" localSheetId="8" hidden="1">1</definedName>
    <definedName name="solver_drv" localSheetId="9" hidden="1">1</definedName>
    <definedName name="solver_drv" localSheetId="10" hidden="1">1</definedName>
    <definedName name="solver_drv" localSheetId="11" hidden="1">1</definedName>
    <definedName name="solver_drv" localSheetId="12" hidden="1">1</definedName>
    <definedName name="solver_est" localSheetId="6" hidden="1">1</definedName>
    <definedName name="solver_est" localSheetId="7" hidden="1">1</definedName>
    <definedName name="solver_est" localSheetId="8" hidden="1">1</definedName>
    <definedName name="solver_est" localSheetId="9" hidden="1">1</definedName>
    <definedName name="solver_est" localSheetId="10" hidden="1">1</definedName>
    <definedName name="solver_est" localSheetId="11" hidden="1">1</definedName>
    <definedName name="solver_est" localSheetId="12" hidden="1">1</definedName>
    <definedName name="solver_itr" localSheetId="6" hidden="1">100</definedName>
    <definedName name="solver_itr" localSheetId="7" hidden="1">100</definedName>
    <definedName name="solver_itr" localSheetId="8" hidden="1">100</definedName>
    <definedName name="solver_itr" localSheetId="9" hidden="1">100</definedName>
    <definedName name="solver_itr" localSheetId="10" hidden="1">100</definedName>
    <definedName name="solver_itr" localSheetId="11" hidden="1">100</definedName>
    <definedName name="solver_itr" localSheetId="12" hidden="1">100</definedName>
    <definedName name="solver_lin" localSheetId="6" hidden="1">2</definedName>
    <definedName name="solver_lin" localSheetId="7" hidden="1">2</definedName>
    <definedName name="solver_lin" localSheetId="8" hidden="1">2</definedName>
    <definedName name="solver_lin" localSheetId="9" hidden="1">2</definedName>
    <definedName name="solver_lin" localSheetId="10" hidden="1">2</definedName>
    <definedName name="solver_lin" localSheetId="11" hidden="1">2</definedName>
    <definedName name="solver_lin" localSheetId="12" hidden="1">2</definedName>
    <definedName name="solver_neg" localSheetId="6" hidden="1">2</definedName>
    <definedName name="solver_neg" localSheetId="7" hidden="1">2</definedName>
    <definedName name="solver_neg" localSheetId="8" hidden="1">2</definedName>
    <definedName name="solver_neg" localSheetId="9" hidden="1">2</definedName>
    <definedName name="solver_neg" localSheetId="10" hidden="1">2</definedName>
    <definedName name="solver_neg" localSheetId="11" hidden="1">2</definedName>
    <definedName name="solver_neg" localSheetId="12" hidden="1">2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num" localSheetId="9" hidden="1">0</definedName>
    <definedName name="solver_num" localSheetId="10" hidden="1">0</definedName>
    <definedName name="solver_num" localSheetId="11" hidden="1">0</definedName>
    <definedName name="solver_num" localSheetId="12" hidden="1">0</definedName>
    <definedName name="solver_nwt" localSheetId="6" hidden="1">1</definedName>
    <definedName name="solver_nwt" localSheetId="7" hidden="1">1</definedName>
    <definedName name="solver_nwt" localSheetId="8" hidden="1">1</definedName>
    <definedName name="solver_nwt" localSheetId="9" hidden="1">1</definedName>
    <definedName name="solver_nwt" localSheetId="10" hidden="1">1</definedName>
    <definedName name="solver_nwt" localSheetId="11" hidden="1">1</definedName>
    <definedName name="solver_nwt" localSheetId="12" hidden="1">1</definedName>
    <definedName name="solver_opt" localSheetId="6" hidden="1">'Option 1'!#REF!</definedName>
    <definedName name="solver_opt" localSheetId="7" hidden="1">'Option 2'!#REF!</definedName>
    <definedName name="solver_opt" localSheetId="8" hidden="1">'Option 3'!#REF!</definedName>
    <definedName name="solver_opt" localSheetId="9" hidden="1">'Option 4'!#REF!</definedName>
    <definedName name="solver_opt" localSheetId="10" hidden="1">'Option 5'!#REF!</definedName>
    <definedName name="solver_opt" localSheetId="11" hidden="1">'Option 6'!#REF!</definedName>
    <definedName name="solver_opt" localSheetId="12" hidden="1">'Option 7'!#REF!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pre" localSheetId="9" hidden="1">0.000001</definedName>
    <definedName name="solver_pre" localSheetId="10" hidden="1">0.000001</definedName>
    <definedName name="solver_pre" localSheetId="11" hidden="1">0.000001</definedName>
    <definedName name="solver_pre" localSheetId="12" hidden="1">0.000001</definedName>
    <definedName name="solver_scl" localSheetId="6" hidden="1">2</definedName>
    <definedName name="solver_scl" localSheetId="7" hidden="1">2</definedName>
    <definedName name="solver_scl" localSheetId="8" hidden="1">2</definedName>
    <definedName name="solver_scl" localSheetId="9" hidden="1">2</definedName>
    <definedName name="solver_scl" localSheetId="10" hidden="1">2</definedName>
    <definedName name="solver_scl" localSheetId="11" hidden="1">2</definedName>
    <definedName name="solver_scl" localSheetId="12" hidden="1">2</definedName>
    <definedName name="solver_sho" localSheetId="6" hidden="1">2</definedName>
    <definedName name="solver_sho" localSheetId="7" hidden="1">2</definedName>
    <definedName name="solver_sho" localSheetId="8" hidden="1">2</definedName>
    <definedName name="solver_sho" localSheetId="9" hidden="1">2</definedName>
    <definedName name="solver_sho" localSheetId="10" hidden="1">2</definedName>
    <definedName name="solver_sho" localSheetId="11" hidden="1">2</definedName>
    <definedName name="solver_sho" localSheetId="12" hidden="1">2</definedName>
    <definedName name="solver_tim" localSheetId="6" hidden="1">100</definedName>
    <definedName name="solver_tim" localSheetId="7" hidden="1">100</definedName>
    <definedName name="solver_tim" localSheetId="8" hidden="1">100</definedName>
    <definedName name="solver_tim" localSheetId="9" hidden="1">100</definedName>
    <definedName name="solver_tim" localSheetId="10" hidden="1">100</definedName>
    <definedName name="solver_tim" localSheetId="11" hidden="1">100</definedName>
    <definedName name="solver_tim" localSheetId="12" hidden="1">100</definedName>
    <definedName name="solver_tol" localSheetId="6" hidden="1">0.05</definedName>
    <definedName name="solver_tol" localSheetId="7" hidden="1">0.05</definedName>
    <definedName name="solver_tol" localSheetId="8" hidden="1">0.05</definedName>
    <definedName name="solver_tol" localSheetId="9" hidden="1">0.05</definedName>
    <definedName name="solver_tol" localSheetId="10" hidden="1">0.05</definedName>
    <definedName name="solver_tol" localSheetId="11" hidden="1">0.05</definedName>
    <definedName name="solver_tol" localSheetId="12" hidden="1">0.05</definedName>
    <definedName name="solver_typ" localSheetId="6" hidden="1">1</definedName>
    <definedName name="solver_typ" localSheetId="7" hidden="1">1</definedName>
    <definedName name="solver_typ" localSheetId="8" hidden="1">1</definedName>
    <definedName name="solver_typ" localSheetId="9" hidden="1">1</definedName>
    <definedName name="solver_typ" localSheetId="10" hidden="1">1</definedName>
    <definedName name="solver_typ" localSheetId="11" hidden="1">1</definedName>
    <definedName name="solver_typ" localSheetId="12" hidden="1">1</definedName>
    <definedName name="solver_val" localSheetId="6" hidden="1">0.8</definedName>
    <definedName name="solver_val" localSheetId="7" hidden="1">0.8</definedName>
    <definedName name="solver_val" localSheetId="8" hidden="1">0.8</definedName>
    <definedName name="solver_val" localSheetId="9" hidden="1">0.8</definedName>
    <definedName name="solver_val" localSheetId="10" hidden="1">0.8</definedName>
    <definedName name="solver_val" localSheetId="11" hidden="1">0.8</definedName>
    <definedName name="solver_val" localSheetId="12" hidden="1">0.8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53" l="1"/>
  <c r="D16" i="53"/>
  <c r="D18" i="53"/>
  <c r="C20" i="54"/>
  <c r="D16" i="54"/>
  <c r="D18" i="54"/>
  <c r="C20" i="52"/>
  <c r="D16" i="52"/>
  <c r="D18" i="52"/>
  <c r="C20" i="51"/>
  <c r="D16" i="51"/>
  <c r="D18" i="51"/>
  <c r="C20" i="50"/>
  <c r="D16" i="50"/>
  <c r="C14" i="49"/>
  <c r="D16" i="49"/>
  <c r="D16" i="44"/>
  <c r="D18" i="44"/>
  <c r="C20" i="44"/>
  <c r="D18" i="50"/>
  <c r="D18" i="49"/>
  <c r="E27" i="39"/>
  <c r="D39" i="39"/>
  <c r="D27" i="39"/>
  <c r="E19" i="53"/>
  <c r="D19" i="53"/>
  <c r="E19" i="54"/>
  <c r="D19" i="54"/>
  <c r="E19" i="52"/>
  <c r="D19" i="52"/>
  <c r="E19" i="51"/>
  <c r="D19" i="51"/>
  <c r="E19" i="50"/>
  <c r="D19" i="50"/>
  <c r="E19" i="49"/>
  <c r="D19" i="49"/>
  <c r="E19" i="44"/>
  <c r="D19" i="44"/>
  <c r="C24" i="44"/>
  <c r="C11" i="42"/>
  <c r="C12" i="42"/>
  <c r="C10" i="42"/>
  <c r="F23" i="40"/>
  <c r="F24" i="40"/>
  <c r="F22" i="40"/>
  <c r="Z17" i="50" l="1"/>
  <c r="AB17" i="49"/>
  <c r="AA17" i="44"/>
  <c r="Y17" i="50"/>
  <c r="AB17" i="44"/>
  <c r="X17" i="49"/>
  <c r="AA17" i="50"/>
  <c r="X17" i="44"/>
  <c r="Y17" i="49"/>
  <c r="Y17" i="44"/>
  <c r="AA17" i="49"/>
  <c r="AB17" i="50"/>
  <c r="X17" i="50"/>
  <c r="Z17" i="44"/>
  <c r="Z17" i="49"/>
  <c r="D14" i="54"/>
  <c r="AB14" i="54"/>
  <c r="F26" i="43" l="1"/>
  <c r="I30" i="43"/>
  <c r="I28" i="43"/>
  <c r="I27" i="43"/>
  <c r="I26" i="43"/>
  <c r="I25" i="43"/>
  <c r="H30" i="43"/>
  <c r="H29" i="43"/>
  <c r="H28" i="43"/>
  <c r="H27" i="43"/>
  <c r="H26" i="43"/>
  <c r="H25" i="43"/>
  <c r="I24" i="43"/>
  <c r="H24" i="43"/>
  <c r="G30" i="43"/>
  <c r="G28" i="43"/>
  <c r="G27" i="43"/>
  <c r="G26" i="43"/>
  <c r="G25" i="43"/>
  <c r="F30" i="43"/>
  <c r="F29" i="43"/>
  <c r="F28" i="43"/>
  <c r="F27" i="43"/>
  <c r="F25" i="43"/>
  <c r="G24" i="43"/>
  <c r="F24" i="43"/>
  <c r="E30" i="43"/>
  <c r="E28" i="43"/>
  <c r="E27" i="43"/>
  <c r="E26" i="43"/>
  <c r="E25" i="43"/>
  <c r="D30" i="43"/>
  <c r="D29" i="43"/>
  <c r="D28" i="43"/>
  <c r="D27" i="43"/>
  <c r="D26" i="43"/>
  <c r="D25" i="43"/>
  <c r="E24" i="43"/>
  <c r="D24" i="43"/>
  <c r="C14" i="43" l="1"/>
  <c r="C13" i="43"/>
  <c r="C12" i="43"/>
  <c r="C11" i="43"/>
  <c r="C10" i="43"/>
  <c r="C9" i="43"/>
  <c r="C4" i="53"/>
  <c r="C4" i="54"/>
  <c r="C4" i="52"/>
  <c r="C4" i="51"/>
  <c r="C4" i="50"/>
  <c r="C4" i="49"/>
  <c r="C4" i="44"/>
  <c r="K5" i="42"/>
  <c r="J5" i="42"/>
  <c r="I5" i="42"/>
  <c r="H5" i="42"/>
  <c r="G5" i="42"/>
  <c r="F5" i="42"/>
  <c r="E5" i="42"/>
  <c r="N5" i="40"/>
  <c r="M5" i="40"/>
  <c r="L5" i="40"/>
  <c r="K5" i="40"/>
  <c r="J5" i="40"/>
  <c r="I5" i="40"/>
  <c r="H5" i="40"/>
  <c r="K6" i="41"/>
  <c r="J6" i="41"/>
  <c r="I6" i="41"/>
  <c r="H6" i="41"/>
  <c r="G6" i="41"/>
  <c r="F6" i="41"/>
  <c r="E6" i="41"/>
  <c r="C8" i="43" s="1"/>
  <c r="E29" i="43"/>
  <c r="D10" i="54"/>
  <c r="D11" i="54" s="1"/>
  <c r="B2" i="43"/>
  <c r="D10" i="53"/>
  <c r="D10" i="52"/>
  <c r="D11" i="52" s="1"/>
  <c r="D10" i="51"/>
  <c r="D11" i="51" s="1"/>
  <c r="D15" i="49"/>
  <c r="D15" i="44"/>
  <c r="E19" i="41"/>
  <c r="E8" i="42" s="1"/>
  <c r="F19" i="41"/>
  <c r="F8" i="42" s="1"/>
  <c r="G19" i="41"/>
  <c r="G8" i="42" s="1"/>
  <c r="H19" i="41"/>
  <c r="H8" i="42" s="1"/>
  <c r="I19" i="41"/>
  <c r="I8" i="42" s="1"/>
  <c r="J19" i="41"/>
  <c r="J8" i="42" s="1"/>
  <c r="K19" i="41"/>
  <c r="K8" i="42" s="1"/>
  <c r="D13" i="39"/>
  <c r="E13" i="39"/>
  <c r="F13" i="39"/>
  <c r="G13" i="39"/>
  <c r="H13" i="39"/>
  <c r="I13" i="39"/>
  <c r="J13" i="39"/>
  <c r="F27" i="39"/>
  <c r="G27" i="39"/>
  <c r="H27" i="39"/>
  <c r="I27" i="39"/>
  <c r="J27" i="39"/>
  <c r="E39" i="39"/>
  <c r="F39" i="39"/>
  <c r="G39" i="39"/>
  <c r="H39" i="39"/>
  <c r="I39" i="39"/>
  <c r="J39" i="39"/>
  <c r="B3" i="50"/>
  <c r="B3" i="49"/>
  <c r="B3" i="43"/>
  <c r="E10" i="53" l="1"/>
  <c r="D11" i="53"/>
  <c r="D15" i="53"/>
  <c r="E40" i="44"/>
  <c r="E41" i="44"/>
  <c r="E10" i="54"/>
  <c r="E11" i="54" s="1"/>
  <c r="D15" i="54"/>
  <c r="E10" i="52"/>
  <c r="E11" i="52" s="1"/>
  <c r="D15" i="52"/>
  <c r="E10" i="51"/>
  <c r="D15" i="51"/>
  <c r="D11" i="50"/>
  <c r="D15" i="50"/>
  <c r="E15" i="49"/>
  <c r="D11" i="49"/>
  <c r="D11" i="44"/>
  <c r="G41" i="39"/>
  <c r="G43" i="39" s="1"/>
  <c r="G44" i="39" s="1"/>
  <c r="H7" i="42" s="1"/>
  <c r="C14" i="51" s="1"/>
  <c r="J41" i="39"/>
  <c r="J43" i="39" s="1"/>
  <c r="J44" i="39" s="1"/>
  <c r="K7" i="42" s="1"/>
  <c r="H41" i="39"/>
  <c r="H43" i="39" s="1"/>
  <c r="H44" i="39" s="1"/>
  <c r="I7" i="42" s="1"/>
  <c r="C14" i="52" s="1"/>
  <c r="D41" i="39"/>
  <c r="D43" i="39" s="1"/>
  <c r="D44" i="39" s="1"/>
  <c r="E7" i="42" s="1"/>
  <c r="C14" i="44" s="1"/>
  <c r="F41" i="39"/>
  <c r="F43" i="39" s="1"/>
  <c r="F44" i="39" s="1"/>
  <c r="G7" i="42" s="1"/>
  <c r="C14" i="50" s="1"/>
  <c r="I41" i="39"/>
  <c r="I43" i="39" s="1"/>
  <c r="I44" i="39" s="1"/>
  <c r="J7" i="42" s="1"/>
  <c r="C14" i="54" s="1"/>
  <c r="E41" i="39"/>
  <c r="E43" i="39" s="1"/>
  <c r="E44" i="39" s="1"/>
  <c r="F7" i="42" s="1"/>
  <c r="E41" i="54"/>
  <c r="C5" i="53"/>
  <c r="E15" i="44"/>
  <c r="E15" i="53" l="1"/>
  <c r="E11" i="53"/>
  <c r="F10" i="53"/>
  <c r="C7" i="53"/>
  <c r="C20" i="49"/>
  <c r="E31" i="44"/>
  <c r="E30" i="44"/>
  <c r="C20" i="53"/>
  <c r="F10" i="54"/>
  <c r="F11" i="54" s="1"/>
  <c r="E15" i="54"/>
  <c r="E15" i="52"/>
  <c r="F10" i="52"/>
  <c r="E11" i="51"/>
  <c r="F10" i="51"/>
  <c r="F11" i="51" s="1"/>
  <c r="E15" i="51"/>
  <c r="E11" i="50"/>
  <c r="E15" i="50"/>
  <c r="F15" i="49"/>
  <c r="E11" i="49"/>
  <c r="F15" i="44"/>
  <c r="E11" i="44"/>
  <c r="E42" i="54"/>
  <c r="G10" i="53"/>
  <c r="E41" i="51"/>
  <c r="E40" i="51"/>
  <c r="E40" i="52"/>
  <c r="E41" i="52"/>
  <c r="E41" i="53"/>
  <c r="E40" i="53"/>
  <c r="E18" i="54"/>
  <c r="H10" i="53" l="1"/>
  <c r="G11" i="53"/>
  <c r="G15" i="53"/>
  <c r="F11" i="53"/>
  <c r="F15" i="53"/>
  <c r="E18" i="53"/>
  <c r="E18" i="51"/>
  <c r="F15" i="52"/>
  <c r="F11" i="52"/>
  <c r="E30" i="49"/>
  <c r="E31" i="49"/>
  <c r="E18" i="49"/>
  <c r="F18" i="54"/>
  <c r="G10" i="54"/>
  <c r="G11" i="54" s="1"/>
  <c r="F15" i="54"/>
  <c r="E14" i="54"/>
  <c r="G10" i="52"/>
  <c r="E18" i="52"/>
  <c r="F15" i="51"/>
  <c r="G10" i="51"/>
  <c r="G11" i="51" s="1"/>
  <c r="F15" i="50"/>
  <c r="F11" i="50"/>
  <c r="E18" i="50"/>
  <c r="G15" i="49"/>
  <c r="F11" i="49"/>
  <c r="G15" i="44"/>
  <c r="F11" i="44"/>
  <c r="E18" i="44"/>
  <c r="E30" i="50"/>
  <c r="E31" i="50"/>
  <c r="E31" i="53"/>
  <c r="E30" i="53"/>
  <c r="E30" i="54"/>
  <c r="E31" i="54"/>
  <c r="E30" i="52"/>
  <c r="E31" i="52"/>
  <c r="E30" i="51"/>
  <c r="E31" i="51"/>
  <c r="I10" i="53"/>
  <c r="H10" i="54"/>
  <c r="H11" i="54" s="1"/>
  <c r="G15" i="54" l="1"/>
  <c r="F14" i="54"/>
  <c r="H11" i="53"/>
  <c r="H15" i="53"/>
  <c r="I15" i="53"/>
  <c r="I11" i="53"/>
  <c r="F18" i="53"/>
  <c r="G18" i="53" s="1"/>
  <c r="F19" i="53"/>
  <c r="G15" i="52"/>
  <c r="G11" i="52"/>
  <c r="H10" i="52"/>
  <c r="F19" i="54"/>
  <c r="F19" i="50"/>
  <c r="F19" i="52"/>
  <c r="G14" i="54"/>
  <c r="H15" i="54"/>
  <c r="F18" i="52"/>
  <c r="H10" i="51"/>
  <c r="H11" i="51" s="1"/>
  <c r="G15" i="51"/>
  <c r="F18" i="51"/>
  <c r="G15" i="50"/>
  <c r="G11" i="50"/>
  <c r="F18" i="50"/>
  <c r="F18" i="49"/>
  <c r="G11" i="49"/>
  <c r="F19" i="51"/>
  <c r="F18" i="44"/>
  <c r="F19" i="49"/>
  <c r="F19" i="44"/>
  <c r="H15" i="44"/>
  <c r="G11" i="44"/>
  <c r="J10" i="53"/>
  <c r="I10" i="52"/>
  <c r="G18" i="54"/>
  <c r="I10" i="54"/>
  <c r="I11" i="54" s="1"/>
  <c r="H18" i="53" l="1"/>
  <c r="I18" i="53" s="1"/>
  <c r="J11" i="53"/>
  <c r="J15" i="53"/>
  <c r="G19" i="53"/>
  <c r="I15" i="52"/>
  <c r="I11" i="52"/>
  <c r="H15" i="52"/>
  <c r="H11" i="52"/>
  <c r="G19" i="50"/>
  <c r="I15" i="54"/>
  <c r="H14" i="54"/>
  <c r="G18" i="52"/>
  <c r="G18" i="51"/>
  <c r="I10" i="51"/>
  <c r="I11" i="51" s="1"/>
  <c r="H15" i="51"/>
  <c r="G18" i="50"/>
  <c r="H11" i="50"/>
  <c r="H15" i="50"/>
  <c r="G18" i="49"/>
  <c r="G18" i="44"/>
  <c r="G19" i="49"/>
  <c r="H11" i="44"/>
  <c r="I15" i="44"/>
  <c r="G19" i="44"/>
  <c r="G19" i="54"/>
  <c r="G19" i="52"/>
  <c r="G19" i="51"/>
  <c r="K10" i="53"/>
  <c r="J10" i="52"/>
  <c r="H18" i="54"/>
  <c r="J10" i="54"/>
  <c r="J11" i="54" s="1"/>
  <c r="H18" i="52" l="1"/>
  <c r="K15" i="53"/>
  <c r="K11" i="53"/>
  <c r="J15" i="52"/>
  <c r="J11" i="52"/>
  <c r="J15" i="54"/>
  <c r="I14" i="54"/>
  <c r="J10" i="51"/>
  <c r="J11" i="51" s="1"/>
  <c r="I15" i="51"/>
  <c r="H18" i="51"/>
  <c r="H19" i="51"/>
  <c r="H18" i="50"/>
  <c r="I11" i="50"/>
  <c r="I15" i="50"/>
  <c r="J15" i="49"/>
  <c r="H19" i="52"/>
  <c r="H19" i="53"/>
  <c r="H19" i="50"/>
  <c r="I11" i="44"/>
  <c r="J15" i="44"/>
  <c r="H19" i="44"/>
  <c r="H18" i="44"/>
  <c r="H19" i="49"/>
  <c r="H19" i="54"/>
  <c r="J18" i="53"/>
  <c r="L10" i="53"/>
  <c r="K10" i="52"/>
  <c r="I18" i="52"/>
  <c r="K10" i="54"/>
  <c r="K11" i="54" s="1"/>
  <c r="I18" i="54"/>
  <c r="L15" i="53" l="1"/>
  <c r="L11" i="53"/>
  <c r="K15" i="52"/>
  <c r="K11" i="52"/>
  <c r="J14" i="54"/>
  <c r="K15" i="54"/>
  <c r="I18" i="51"/>
  <c r="K10" i="51"/>
  <c r="K11" i="51" s="1"/>
  <c r="J15" i="51"/>
  <c r="I18" i="50"/>
  <c r="J15" i="50"/>
  <c r="J11" i="50"/>
  <c r="J11" i="49"/>
  <c r="K15" i="49"/>
  <c r="I19" i="44"/>
  <c r="J11" i="44"/>
  <c r="K15" i="44"/>
  <c r="I19" i="52"/>
  <c r="I18" i="44"/>
  <c r="I19" i="49"/>
  <c r="I19" i="53"/>
  <c r="I19" i="54"/>
  <c r="I19" i="50"/>
  <c r="I19" i="51"/>
  <c r="K18" i="53"/>
  <c r="M10" i="53"/>
  <c r="J18" i="52"/>
  <c r="L10" i="52"/>
  <c r="L10" i="54"/>
  <c r="L11" i="54" s="1"/>
  <c r="J18" i="54"/>
  <c r="M15" i="53" l="1"/>
  <c r="M11" i="53"/>
  <c r="L15" i="52"/>
  <c r="L11" i="52"/>
  <c r="K14" i="54"/>
  <c r="L15" i="54"/>
  <c r="K15" i="51"/>
  <c r="L10" i="51"/>
  <c r="L11" i="51" s="1"/>
  <c r="J18" i="51"/>
  <c r="K18" i="51" s="1"/>
  <c r="J18" i="50"/>
  <c r="K15" i="50"/>
  <c r="K11" i="50"/>
  <c r="K11" i="49"/>
  <c r="L15" i="49"/>
  <c r="J19" i="44"/>
  <c r="J19" i="52"/>
  <c r="J19" i="50"/>
  <c r="J19" i="49"/>
  <c r="J18" i="44"/>
  <c r="J19" i="54"/>
  <c r="J19" i="53"/>
  <c r="J19" i="51"/>
  <c r="K11" i="44"/>
  <c r="L15" i="44"/>
  <c r="L18" i="53"/>
  <c r="N10" i="53"/>
  <c r="M10" i="52"/>
  <c r="K18" i="52"/>
  <c r="K18" i="54"/>
  <c r="M10" i="54"/>
  <c r="M11" i="54" s="1"/>
  <c r="N11" i="53" l="1"/>
  <c r="N15" i="53"/>
  <c r="M15" i="52"/>
  <c r="M11" i="52"/>
  <c r="M15" i="54"/>
  <c r="L14" i="54"/>
  <c r="L15" i="51"/>
  <c r="M10" i="51"/>
  <c r="M11" i="51" s="1"/>
  <c r="K18" i="50"/>
  <c r="L11" i="50"/>
  <c r="L15" i="50"/>
  <c r="L11" i="49"/>
  <c r="M15" i="49"/>
  <c r="L11" i="44"/>
  <c r="M15" i="44"/>
  <c r="K19" i="52"/>
  <c r="K19" i="53"/>
  <c r="K18" i="44"/>
  <c r="K19" i="51"/>
  <c r="K19" i="44"/>
  <c r="K19" i="54"/>
  <c r="K19" i="49"/>
  <c r="K19" i="50"/>
  <c r="M18" i="53"/>
  <c r="O10" i="53"/>
  <c r="N10" i="52"/>
  <c r="L18" i="52"/>
  <c r="L18" i="54"/>
  <c r="N10" i="54"/>
  <c r="N11" i="54" s="1"/>
  <c r="O11" i="53" l="1"/>
  <c r="O15" i="53"/>
  <c r="N15" i="52"/>
  <c r="N11" i="52"/>
  <c r="N15" i="54"/>
  <c r="M14" i="54"/>
  <c r="L18" i="51"/>
  <c r="M15" i="51"/>
  <c r="N10" i="51"/>
  <c r="N11" i="51" s="1"/>
  <c r="L18" i="50"/>
  <c r="M11" i="50"/>
  <c r="M15" i="50"/>
  <c r="M11" i="49"/>
  <c r="N15" i="49"/>
  <c r="L19" i="49"/>
  <c r="L19" i="52"/>
  <c r="L19" i="53"/>
  <c r="L19" i="51"/>
  <c r="L19" i="54"/>
  <c r="L18" i="44"/>
  <c r="L19" i="50"/>
  <c r="L19" i="44"/>
  <c r="M11" i="44"/>
  <c r="N15" i="44"/>
  <c r="N18" i="53"/>
  <c r="P10" i="53"/>
  <c r="M18" i="52"/>
  <c r="O10" i="52"/>
  <c r="M18" i="54"/>
  <c r="O10" i="54"/>
  <c r="O11" i="54" s="1"/>
  <c r="P11" i="53" l="1"/>
  <c r="P15" i="53"/>
  <c r="O15" i="52"/>
  <c r="O11" i="52"/>
  <c r="N14" i="54"/>
  <c r="O15" i="54"/>
  <c r="N15" i="51"/>
  <c r="O10" i="51"/>
  <c r="O11" i="51" s="1"/>
  <c r="M18" i="51"/>
  <c r="M18" i="50"/>
  <c r="N15" i="50"/>
  <c r="N11" i="50"/>
  <c r="N11" i="49"/>
  <c r="O15" i="49"/>
  <c r="N11" i="44"/>
  <c r="O15" i="44"/>
  <c r="M19" i="53"/>
  <c r="M19" i="54"/>
  <c r="M19" i="49"/>
  <c r="M19" i="50"/>
  <c r="M18" i="44"/>
  <c r="M19" i="51"/>
  <c r="M19" i="44"/>
  <c r="M19" i="52"/>
  <c r="O18" i="53"/>
  <c r="Q10" i="53"/>
  <c r="N18" i="52"/>
  <c r="P10" i="52"/>
  <c r="P10" i="54"/>
  <c r="P11" i="54" s="1"/>
  <c r="N18" i="54"/>
  <c r="Q15" i="53" l="1"/>
  <c r="Q11" i="53"/>
  <c r="P15" i="52"/>
  <c r="P11" i="52"/>
  <c r="O14" i="54"/>
  <c r="P15" i="54"/>
  <c r="O15" i="51"/>
  <c r="P10" i="51"/>
  <c r="P11" i="51" s="1"/>
  <c r="N18" i="51"/>
  <c r="O15" i="50"/>
  <c r="O11" i="50"/>
  <c r="N18" i="50"/>
  <c r="O11" i="49"/>
  <c r="P15" i="49"/>
  <c r="N19" i="44"/>
  <c r="N19" i="49"/>
  <c r="N19" i="53"/>
  <c r="N18" i="44"/>
  <c r="N19" i="50"/>
  <c r="N19" i="54"/>
  <c r="N19" i="52"/>
  <c r="N19" i="51"/>
  <c r="O11" i="44"/>
  <c r="P15" i="44"/>
  <c r="P18" i="53"/>
  <c r="O18" i="52"/>
  <c r="R10" i="53"/>
  <c r="Q10" i="52"/>
  <c r="Q10" i="54"/>
  <c r="Q11" i="54" s="1"/>
  <c r="O18" i="54"/>
  <c r="P18" i="52" l="1"/>
  <c r="R11" i="53"/>
  <c r="R15" i="53"/>
  <c r="Q15" i="52"/>
  <c r="Q11" i="52"/>
  <c r="Q18" i="52" s="1"/>
  <c r="O18" i="50"/>
  <c r="Q15" i="54"/>
  <c r="P14" i="54"/>
  <c r="O18" i="51"/>
  <c r="P15" i="51"/>
  <c r="Q10" i="51"/>
  <c r="Q11" i="51" s="1"/>
  <c r="P11" i="50"/>
  <c r="P15" i="50"/>
  <c r="P11" i="49"/>
  <c r="Q15" i="49"/>
  <c r="P11" i="44"/>
  <c r="Q15" i="44"/>
  <c r="O19" i="44"/>
  <c r="O19" i="54"/>
  <c r="O18" i="44"/>
  <c r="O19" i="50"/>
  <c r="O19" i="52"/>
  <c r="O19" i="49"/>
  <c r="O19" i="53"/>
  <c r="O19" i="51"/>
  <c r="Q18" i="53"/>
  <c r="S10" i="53"/>
  <c r="R10" i="52"/>
  <c r="P18" i="54"/>
  <c r="R10" i="54"/>
  <c r="R11" i="54" s="1"/>
  <c r="S11" i="53" l="1"/>
  <c r="S15" i="53"/>
  <c r="R15" i="52"/>
  <c r="R11" i="52"/>
  <c r="R18" i="52" s="1"/>
  <c r="R15" i="54"/>
  <c r="Q14" i="54"/>
  <c r="Q15" i="51"/>
  <c r="R10" i="51"/>
  <c r="R11" i="51" s="1"/>
  <c r="P18" i="51"/>
  <c r="P18" i="50"/>
  <c r="Q11" i="50"/>
  <c r="Q15" i="50"/>
  <c r="Q11" i="49"/>
  <c r="R15" i="49"/>
  <c r="P19" i="49"/>
  <c r="P19" i="54"/>
  <c r="P19" i="51"/>
  <c r="P19" i="50"/>
  <c r="P18" i="44"/>
  <c r="P19" i="52"/>
  <c r="P19" i="44"/>
  <c r="P19" i="53"/>
  <c r="Q11" i="44"/>
  <c r="R15" i="44"/>
  <c r="R18" i="53"/>
  <c r="T10" i="53"/>
  <c r="S10" i="52"/>
  <c r="Q18" i="54"/>
  <c r="S10" i="54"/>
  <c r="S11" i="54" s="1"/>
  <c r="T11" i="53" l="1"/>
  <c r="T15" i="53"/>
  <c r="S15" i="52"/>
  <c r="S11" i="52"/>
  <c r="S18" i="52" s="1"/>
  <c r="R14" i="54"/>
  <c r="S15" i="54"/>
  <c r="Q18" i="51"/>
  <c r="R15" i="51"/>
  <c r="S10" i="51"/>
  <c r="S11" i="51" s="1"/>
  <c r="R15" i="50"/>
  <c r="R11" i="50"/>
  <c r="Q18" i="50"/>
  <c r="R11" i="49"/>
  <c r="S15" i="49"/>
  <c r="R11" i="44"/>
  <c r="S15" i="44"/>
  <c r="Q19" i="53"/>
  <c r="Q19" i="49"/>
  <c r="Q18" i="44"/>
  <c r="Q19" i="52"/>
  <c r="Q19" i="54"/>
  <c r="Q19" i="50"/>
  <c r="Q19" i="51"/>
  <c r="Q19" i="44"/>
  <c r="S18" i="53"/>
  <c r="U10" i="53"/>
  <c r="T10" i="52"/>
  <c r="T10" i="54"/>
  <c r="T11" i="54" s="1"/>
  <c r="R18" i="54"/>
  <c r="U11" i="53" l="1"/>
  <c r="U15" i="53"/>
  <c r="T15" i="52"/>
  <c r="T11" i="52"/>
  <c r="T18" i="52" s="1"/>
  <c r="S14" i="54"/>
  <c r="T15" i="54"/>
  <c r="R18" i="51"/>
  <c r="S15" i="51"/>
  <c r="T10" i="51"/>
  <c r="T11" i="51" s="1"/>
  <c r="R18" i="50"/>
  <c r="S15" i="50"/>
  <c r="S11" i="50"/>
  <c r="S11" i="49"/>
  <c r="T15" i="49"/>
  <c r="R19" i="49"/>
  <c r="R19" i="50"/>
  <c r="R19" i="54"/>
  <c r="R19" i="44"/>
  <c r="R18" i="44"/>
  <c r="R19" i="52"/>
  <c r="R19" i="51"/>
  <c r="R19" i="53"/>
  <c r="S11" i="44"/>
  <c r="T15" i="44"/>
  <c r="T18" i="53"/>
  <c r="V10" i="53"/>
  <c r="U10" i="52"/>
  <c r="S18" i="54"/>
  <c r="U10" i="54"/>
  <c r="U11" i="54" s="1"/>
  <c r="V15" i="53" l="1"/>
  <c r="V11" i="53"/>
  <c r="U15" i="52"/>
  <c r="U11" i="52"/>
  <c r="U18" i="52" s="1"/>
  <c r="U15" i="54"/>
  <c r="T14" i="54"/>
  <c r="S18" i="51"/>
  <c r="T15" i="51"/>
  <c r="U10" i="51"/>
  <c r="U11" i="51" s="1"/>
  <c r="S18" i="50"/>
  <c r="T11" i="50"/>
  <c r="T15" i="50"/>
  <c r="T11" i="49"/>
  <c r="U15" i="49"/>
  <c r="T11" i="44"/>
  <c r="U15" i="44"/>
  <c r="S19" i="53"/>
  <c r="S19" i="49"/>
  <c r="S19" i="50"/>
  <c r="S19" i="54"/>
  <c r="S18" i="44"/>
  <c r="S19" i="51"/>
  <c r="S19" i="44"/>
  <c r="S19" i="52"/>
  <c r="U18" i="53"/>
  <c r="W10" i="53"/>
  <c r="V10" i="52"/>
  <c r="T18" i="54"/>
  <c r="V10" i="54"/>
  <c r="V11" i="54" s="1"/>
  <c r="W11" i="53" l="1"/>
  <c r="W15" i="53"/>
  <c r="V15" i="52"/>
  <c r="V11" i="52"/>
  <c r="V18" i="52" s="1"/>
  <c r="U14" i="54"/>
  <c r="V15" i="54"/>
  <c r="T18" i="51"/>
  <c r="U15" i="51"/>
  <c r="V10" i="51"/>
  <c r="V11" i="51" s="1"/>
  <c r="U11" i="50"/>
  <c r="U15" i="50"/>
  <c r="T18" i="50"/>
  <c r="U11" i="49"/>
  <c r="V15" i="49"/>
  <c r="U11" i="44"/>
  <c r="V15" i="44"/>
  <c r="T18" i="44"/>
  <c r="T19" i="53"/>
  <c r="T19" i="54"/>
  <c r="T19" i="52"/>
  <c r="T19" i="44"/>
  <c r="T19" i="49"/>
  <c r="T19" i="50"/>
  <c r="T19" i="51"/>
  <c r="V18" i="53"/>
  <c r="X10" i="53"/>
  <c r="X17" i="53" s="1"/>
  <c r="W10" i="52"/>
  <c r="W10" i="54"/>
  <c r="W11" i="54" s="1"/>
  <c r="U18" i="54"/>
  <c r="X15" i="53" l="1"/>
  <c r="X11" i="53"/>
  <c r="W15" i="52"/>
  <c r="W11" i="52"/>
  <c r="W18" i="52" s="1"/>
  <c r="V14" i="54"/>
  <c r="W15" i="54"/>
  <c r="V15" i="51"/>
  <c r="W10" i="51"/>
  <c r="W11" i="51" s="1"/>
  <c r="U18" i="51"/>
  <c r="U18" i="50"/>
  <c r="V15" i="50"/>
  <c r="V11" i="50"/>
  <c r="V11" i="49"/>
  <c r="W15" i="49"/>
  <c r="U19" i="44"/>
  <c r="U19" i="53"/>
  <c r="U18" i="44"/>
  <c r="U19" i="52"/>
  <c r="U19" i="49"/>
  <c r="U19" i="51"/>
  <c r="U19" i="50"/>
  <c r="U19" i="54"/>
  <c r="V11" i="44"/>
  <c r="W15" i="44"/>
  <c r="W18" i="53"/>
  <c r="Y10" i="53"/>
  <c r="Y17" i="53" s="1"/>
  <c r="X10" i="52"/>
  <c r="X17" i="52" s="1"/>
  <c r="V18" i="54"/>
  <c r="X10" i="54"/>
  <c r="X11" i="54" l="1"/>
  <c r="X17" i="54"/>
  <c r="Y11" i="53"/>
  <c r="Y15" i="53"/>
  <c r="X15" i="52"/>
  <c r="X11" i="52"/>
  <c r="X18" i="52" s="1"/>
  <c r="W14" i="54"/>
  <c r="X15" i="54"/>
  <c r="V18" i="51"/>
  <c r="W15" i="51"/>
  <c r="X10" i="51"/>
  <c r="W15" i="50"/>
  <c r="W11" i="50"/>
  <c r="V18" i="50"/>
  <c r="W11" i="49"/>
  <c r="X15" i="49"/>
  <c r="W11" i="44"/>
  <c r="X15" i="44"/>
  <c r="V18" i="44"/>
  <c r="V19" i="51"/>
  <c r="V19" i="50"/>
  <c r="V19" i="44"/>
  <c r="V19" i="52"/>
  <c r="V19" i="53"/>
  <c r="V19" i="49"/>
  <c r="V19" i="54"/>
  <c r="X18" i="53"/>
  <c r="Z10" i="53"/>
  <c r="Z17" i="53" s="1"/>
  <c r="Y10" i="52"/>
  <c r="Y17" i="52" s="1"/>
  <c r="W18" i="54"/>
  <c r="Y10" i="54"/>
  <c r="Y11" i="54" l="1"/>
  <c r="Y17" i="54"/>
  <c r="X11" i="51"/>
  <c r="X17" i="51"/>
  <c r="Z11" i="53"/>
  <c r="Z15" i="53"/>
  <c r="Y15" i="52"/>
  <c r="Y11" i="52"/>
  <c r="Y18" i="52" s="1"/>
  <c r="Y15" i="54"/>
  <c r="X14" i="54"/>
  <c r="W18" i="51"/>
  <c r="X15" i="51"/>
  <c r="Y10" i="51"/>
  <c r="W18" i="50"/>
  <c r="X11" i="50"/>
  <c r="X15" i="50"/>
  <c r="X11" i="49"/>
  <c r="Y15" i="49"/>
  <c r="W19" i="44"/>
  <c r="W19" i="52"/>
  <c r="W19" i="51"/>
  <c r="W19" i="50"/>
  <c r="W19" i="53"/>
  <c r="W19" i="49"/>
  <c r="W18" i="44"/>
  <c r="W19" i="54"/>
  <c r="X11" i="44"/>
  <c r="Y15" i="44"/>
  <c r="Y18" i="53"/>
  <c r="AA10" i="53"/>
  <c r="AA17" i="53" s="1"/>
  <c r="Z10" i="52"/>
  <c r="Z17" i="52" s="1"/>
  <c r="X18" i="54"/>
  <c r="Z10" i="54"/>
  <c r="Y11" i="51" l="1"/>
  <c r="Y17" i="51"/>
  <c r="Z11" i="54"/>
  <c r="Z17" i="54"/>
  <c r="AA15" i="53"/>
  <c r="AA11" i="53"/>
  <c r="Z15" i="52"/>
  <c r="Z11" i="52"/>
  <c r="Z18" i="52" s="1"/>
  <c r="Z15" i="54"/>
  <c r="Y14" i="54"/>
  <c r="Y15" i="51"/>
  <c r="Z10" i="51"/>
  <c r="X18" i="51"/>
  <c r="Y11" i="50"/>
  <c r="Y15" i="50"/>
  <c r="X18" i="50"/>
  <c r="Y11" i="49"/>
  <c r="Z15" i="49"/>
  <c r="X19" i="53"/>
  <c r="X19" i="44"/>
  <c r="X19" i="52"/>
  <c r="X19" i="49"/>
  <c r="X19" i="54"/>
  <c r="X19" i="50"/>
  <c r="X19" i="51"/>
  <c r="X18" i="44"/>
  <c r="Y11" i="44"/>
  <c r="Z15" i="44"/>
  <c r="Z18" i="53"/>
  <c r="AB10" i="53"/>
  <c r="AB17" i="53" s="1"/>
  <c r="AA10" i="52"/>
  <c r="AA17" i="52" s="1"/>
  <c r="Y18" i="54"/>
  <c r="AA10" i="54"/>
  <c r="Z11" i="51" l="1"/>
  <c r="Z17" i="51"/>
  <c r="AA11" i="54"/>
  <c r="AA17" i="54"/>
  <c r="AB11" i="53"/>
  <c r="AB15" i="53"/>
  <c r="AA15" i="52"/>
  <c r="AA11" i="52"/>
  <c r="AA18" i="52" s="1"/>
  <c r="Z14" i="54"/>
  <c r="AA15" i="54"/>
  <c r="Y18" i="51"/>
  <c r="Z15" i="51"/>
  <c r="AA10" i="51"/>
  <c r="Y18" i="50"/>
  <c r="Z15" i="50"/>
  <c r="Z11" i="50"/>
  <c r="Z11" i="49"/>
  <c r="AA15" i="49"/>
  <c r="Z11" i="44"/>
  <c r="AA15" i="44"/>
  <c r="Y19" i="52"/>
  <c r="Y19" i="44"/>
  <c r="Y19" i="53"/>
  <c r="Y19" i="49"/>
  <c r="Y19" i="54"/>
  <c r="Y19" i="51"/>
  <c r="Y19" i="50"/>
  <c r="Y18" i="44"/>
  <c r="AA18" i="53"/>
  <c r="AB10" i="52"/>
  <c r="AB17" i="52" s="1"/>
  <c r="AB10" i="54"/>
  <c r="Z18" i="54"/>
  <c r="AB11" i="54" l="1"/>
  <c r="AB17" i="54"/>
  <c r="AA11" i="51"/>
  <c r="AA17" i="51"/>
  <c r="AB15" i="52"/>
  <c r="AB11" i="52"/>
  <c r="AB18" i="52" s="1"/>
  <c r="AA14" i="54"/>
  <c r="AB15" i="54"/>
  <c r="AA15" i="51"/>
  <c r="AB10" i="51"/>
  <c r="Z18" i="51"/>
  <c r="AA15" i="50"/>
  <c r="AA11" i="50"/>
  <c r="Z18" i="50"/>
  <c r="AA11" i="49"/>
  <c r="AB15" i="49"/>
  <c r="Z18" i="44"/>
  <c r="Z19" i="52"/>
  <c r="Z19" i="50"/>
  <c r="Z19" i="54"/>
  <c r="Z19" i="49"/>
  <c r="Z19" i="53"/>
  <c r="Z19" i="44"/>
  <c r="Z19" i="51"/>
  <c r="AA11" i="44"/>
  <c r="AB15" i="44"/>
  <c r="AB18" i="53"/>
  <c r="AA18" i="54"/>
  <c r="AB11" i="51" l="1"/>
  <c r="AB17" i="51"/>
  <c r="AA18" i="51"/>
  <c r="AB15" i="51"/>
  <c r="AA18" i="50"/>
  <c r="AB11" i="50"/>
  <c r="AB15" i="50"/>
  <c r="AB11" i="49"/>
  <c r="AB11" i="44"/>
  <c r="AA19" i="44"/>
  <c r="AA19" i="53"/>
  <c r="AA19" i="52"/>
  <c r="AA19" i="50"/>
  <c r="AA19" i="51"/>
  <c r="AA19" i="49"/>
  <c r="AA18" i="44"/>
  <c r="AA19" i="54"/>
  <c r="AB18" i="54"/>
  <c r="AB18" i="51" l="1"/>
  <c r="AB18" i="50"/>
  <c r="AB18" i="44"/>
  <c r="AB19" i="53"/>
  <c r="AB19" i="52"/>
  <c r="AB19" i="44"/>
  <c r="AB19" i="54"/>
  <c r="AB19" i="49"/>
  <c r="AB19" i="50"/>
  <c r="AB19" i="51"/>
  <c r="K7" i="40" l="1"/>
  <c r="K14" i="40" s="1"/>
  <c r="L7" i="40"/>
  <c r="L9" i="40" s="1"/>
  <c r="L11" i="40" s="1"/>
  <c r="M7" i="40"/>
  <c r="J7" i="40"/>
  <c r="N7" i="40"/>
  <c r="I7" i="40"/>
  <c r="D22" i="54"/>
  <c r="D22" i="52"/>
  <c r="D22" i="51"/>
  <c r="D22" i="53"/>
  <c r="H7" i="40"/>
  <c r="H9" i="40" s="1"/>
  <c r="H11" i="40" s="1"/>
  <c r="E9" i="42" s="1"/>
  <c r="D22" i="50"/>
  <c r="D22" i="49"/>
  <c r="C5" i="42"/>
  <c r="D22" i="44"/>
  <c r="E22" i="44" s="1"/>
  <c r="F22" i="44" s="1"/>
  <c r="G22" i="44" s="1"/>
  <c r="H22" i="44" s="1"/>
  <c r="I22" i="44" s="1"/>
  <c r="J22" i="44" s="1"/>
  <c r="K22" i="44" s="1"/>
  <c r="L22" i="44" s="1"/>
  <c r="M22" i="44" s="1"/>
  <c r="N22" i="44" s="1"/>
  <c r="O22" i="44" s="1"/>
  <c r="P22" i="44" s="1"/>
  <c r="Q22" i="44" s="1"/>
  <c r="R22" i="44" s="1"/>
  <c r="S22" i="44" s="1"/>
  <c r="T22" i="44" s="1"/>
  <c r="U22" i="44" s="1"/>
  <c r="V22" i="44" s="1"/>
  <c r="W22" i="44" s="1"/>
  <c r="X22" i="44" s="1"/>
  <c r="Y22" i="44" s="1"/>
  <c r="Z22" i="44" s="1"/>
  <c r="AA22" i="44" s="1"/>
  <c r="AB22" i="44" s="1"/>
  <c r="E22" i="51" l="1"/>
  <c r="F22" i="51" s="1"/>
  <c r="G22" i="51" s="1"/>
  <c r="H22" i="51" s="1"/>
  <c r="I22" i="51" s="1"/>
  <c r="J22" i="51" s="1"/>
  <c r="K22" i="51" s="1"/>
  <c r="L22" i="51" s="1"/>
  <c r="M22" i="51" s="1"/>
  <c r="N22" i="51" s="1"/>
  <c r="O22" i="51" s="1"/>
  <c r="P22" i="51" s="1"/>
  <c r="Q22" i="51" s="1"/>
  <c r="R22" i="51" s="1"/>
  <c r="S22" i="51" s="1"/>
  <c r="T22" i="51" s="1"/>
  <c r="U22" i="51" s="1"/>
  <c r="V22" i="51" s="1"/>
  <c r="W22" i="51" s="1"/>
  <c r="X22" i="51" s="1"/>
  <c r="Y22" i="51" s="1"/>
  <c r="Z22" i="51" s="1"/>
  <c r="AA22" i="51" s="1"/>
  <c r="AB22" i="51" s="1"/>
  <c r="E22" i="49"/>
  <c r="F22" i="49" s="1"/>
  <c r="G22" i="49" s="1"/>
  <c r="E22" i="53"/>
  <c r="F22" i="53" s="1"/>
  <c r="G22" i="53" s="1"/>
  <c r="H22" i="53" s="1"/>
  <c r="I22" i="53" s="1"/>
  <c r="J22" i="53" s="1"/>
  <c r="K22" i="53" s="1"/>
  <c r="L22" i="53" s="1"/>
  <c r="M22" i="53" s="1"/>
  <c r="N22" i="53" s="1"/>
  <c r="O22" i="53" s="1"/>
  <c r="P22" i="53" s="1"/>
  <c r="Q22" i="53" s="1"/>
  <c r="R22" i="53" s="1"/>
  <c r="S22" i="53" s="1"/>
  <c r="T22" i="53" s="1"/>
  <c r="U22" i="53" s="1"/>
  <c r="V22" i="53" s="1"/>
  <c r="W22" i="53" s="1"/>
  <c r="X22" i="53" s="1"/>
  <c r="Y22" i="53" s="1"/>
  <c r="Z22" i="53" s="1"/>
  <c r="AA22" i="53" s="1"/>
  <c r="AB22" i="53" s="1"/>
  <c r="E22" i="54"/>
  <c r="F22" i="54" s="1"/>
  <c r="G22" i="54" s="1"/>
  <c r="H22" i="54" s="1"/>
  <c r="I22" i="54" s="1"/>
  <c r="J22" i="54" s="1"/>
  <c r="K22" i="54" s="1"/>
  <c r="L22" i="54" s="1"/>
  <c r="M22" i="54" s="1"/>
  <c r="N22" i="54" s="1"/>
  <c r="O22" i="54" s="1"/>
  <c r="P22" i="54" s="1"/>
  <c r="Q22" i="54" s="1"/>
  <c r="R22" i="54" s="1"/>
  <c r="S22" i="54" s="1"/>
  <c r="T22" i="54" s="1"/>
  <c r="U22" i="54" s="1"/>
  <c r="V22" i="54" s="1"/>
  <c r="W22" i="54" s="1"/>
  <c r="X22" i="54" s="1"/>
  <c r="Y22" i="54" s="1"/>
  <c r="Z22" i="54" s="1"/>
  <c r="AA22" i="54" s="1"/>
  <c r="AB22" i="54" s="1"/>
  <c r="K9" i="40"/>
  <c r="K11" i="40" s="1"/>
  <c r="E22" i="50"/>
  <c r="F22" i="50" s="1"/>
  <c r="G22" i="50" s="1"/>
  <c r="H22" i="50" s="1"/>
  <c r="I22" i="50" s="1"/>
  <c r="J22" i="50" s="1"/>
  <c r="K22" i="50" s="1"/>
  <c r="L22" i="50" s="1"/>
  <c r="M22" i="50" s="1"/>
  <c r="N22" i="50" s="1"/>
  <c r="O22" i="50" s="1"/>
  <c r="P22" i="50" s="1"/>
  <c r="Q22" i="50" s="1"/>
  <c r="R22" i="50" s="1"/>
  <c r="S22" i="50" s="1"/>
  <c r="T22" i="50" s="1"/>
  <c r="U22" i="50" s="1"/>
  <c r="V22" i="50" s="1"/>
  <c r="W22" i="50" s="1"/>
  <c r="X22" i="50" s="1"/>
  <c r="Y22" i="50" s="1"/>
  <c r="Z22" i="50" s="1"/>
  <c r="AA22" i="50" s="1"/>
  <c r="AB22" i="50" s="1"/>
  <c r="I14" i="40"/>
  <c r="I9" i="40"/>
  <c r="I11" i="40" s="1"/>
  <c r="E16" i="44"/>
  <c r="N14" i="40"/>
  <c r="N9" i="40"/>
  <c r="N11" i="40" s="1"/>
  <c r="J14" i="40"/>
  <c r="J9" i="40"/>
  <c r="J11" i="40" s="1"/>
  <c r="M14" i="40"/>
  <c r="M9" i="40"/>
  <c r="M11" i="40" s="1"/>
  <c r="K18" i="40"/>
  <c r="H11" i="42" s="1"/>
  <c r="K17" i="40"/>
  <c r="H10" i="42" s="1"/>
  <c r="K19" i="40"/>
  <c r="H12" i="42" s="1"/>
  <c r="I9" i="42"/>
  <c r="I21" i="43"/>
  <c r="G4" i="43"/>
  <c r="G7" i="44"/>
  <c r="L14" i="40"/>
  <c r="H14" i="40"/>
  <c r="H32" i="44"/>
  <c r="E22" i="52"/>
  <c r="F22" i="52" s="1"/>
  <c r="G22" i="52" s="1"/>
  <c r="H22" i="52" s="1"/>
  <c r="I22" i="52" s="1"/>
  <c r="J22" i="52" s="1"/>
  <c r="K22" i="52" s="1"/>
  <c r="L22" i="52" s="1"/>
  <c r="M22" i="52" s="1"/>
  <c r="N22" i="52" s="1"/>
  <c r="O22" i="52" s="1"/>
  <c r="P22" i="52" s="1"/>
  <c r="Q22" i="52" s="1"/>
  <c r="R22" i="52" s="1"/>
  <c r="S22" i="52" s="1"/>
  <c r="T22" i="52" s="1"/>
  <c r="U22" i="52" s="1"/>
  <c r="V22" i="52" s="1"/>
  <c r="W22" i="52" s="1"/>
  <c r="X22" i="52" s="1"/>
  <c r="Y22" i="52" s="1"/>
  <c r="Z22" i="52" s="1"/>
  <c r="AA22" i="52" s="1"/>
  <c r="AB22" i="52" s="1"/>
  <c r="G7" i="54" l="1"/>
  <c r="J31" i="54" s="1"/>
  <c r="H31" i="54"/>
  <c r="K22" i="40"/>
  <c r="H32" i="52"/>
  <c r="G7" i="53"/>
  <c r="G7" i="51"/>
  <c r="H32" i="53"/>
  <c r="H32" i="51"/>
  <c r="H32" i="50"/>
  <c r="K23" i="40"/>
  <c r="I32" i="44"/>
  <c r="H9" i="42"/>
  <c r="M19" i="40"/>
  <c r="J12" i="42" s="1"/>
  <c r="M18" i="40"/>
  <c r="J11" i="42" s="1"/>
  <c r="M17" i="40"/>
  <c r="J10" i="42" s="1"/>
  <c r="L17" i="40"/>
  <c r="L18" i="40"/>
  <c r="L19" i="40"/>
  <c r="J9" i="42"/>
  <c r="K9" i="42"/>
  <c r="K24" i="40"/>
  <c r="G7" i="52"/>
  <c r="G7" i="50"/>
  <c r="E16" i="52"/>
  <c r="E36" i="52"/>
  <c r="E35" i="52"/>
  <c r="T17" i="51"/>
  <c r="S17" i="51"/>
  <c r="O17" i="51"/>
  <c r="P17" i="51"/>
  <c r="V17" i="51"/>
  <c r="W17" i="51"/>
  <c r="R17" i="51"/>
  <c r="U17" i="51"/>
  <c r="Q17" i="51"/>
  <c r="N17" i="40"/>
  <c r="K10" i="42" s="1"/>
  <c r="N18" i="40"/>
  <c r="K11" i="42" s="1"/>
  <c r="N19" i="40"/>
  <c r="K12" i="42" s="1"/>
  <c r="H19" i="40"/>
  <c r="H18" i="40"/>
  <c r="H17" i="40"/>
  <c r="I17" i="51"/>
  <c r="J17" i="51"/>
  <c r="M17" i="51"/>
  <c r="N17" i="51"/>
  <c r="L17" i="51"/>
  <c r="K17" i="51"/>
  <c r="J19" i="40"/>
  <c r="G12" i="42" s="1"/>
  <c r="J18" i="40"/>
  <c r="G11" i="42" s="1"/>
  <c r="J17" i="40"/>
  <c r="G10" i="42" s="1"/>
  <c r="I19" i="40"/>
  <c r="F12" i="42" s="1"/>
  <c r="I18" i="40"/>
  <c r="F11" i="42" s="1"/>
  <c r="I17" i="40"/>
  <c r="F10" i="42" s="1"/>
  <c r="F17" i="51"/>
  <c r="G17" i="51"/>
  <c r="D17" i="51"/>
  <c r="D24" i="51" s="1"/>
  <c r="E17" i="51"/>
  <c r="H17" i="51"/>
  <c r="G9" i="42"/>
  <c r="F16" i="44"/>
  <c r="F9" i="42"/>
  <c r="J32" i="44"/>
  <c r="I23" i="40" l="1"/>
  <c r="J24" i="40"/>
  <c r="I31" i="54"/>
  <c r="J32" i="52"/>
  <c r="J32" i="50"/>
  <c r="I32" i="53"/>
  <c r="I22" i="40"/>
  <c r="J23" i="40"/>
  <c r="I32" i="51"/>
  <c r="J32" i="51"/>
  <c r="I32" i="50"/>
  <c r="J32" i="53"/>
  <c r="I32" i="52"/>
  <c r="M22" i="40"/>
  <c r="G16" i="44"/>
  <c r="F17" i="50"/>
  <c r="H17" i="50"/>
  <c r="D17" i="50"/>
  <c r="D20" i="50" s="1"/>
  <c r="E17" i="50"/>
  <c r="G17" i="50"/>
  <c r="I11" i="42"/>
  <c r="L23" i="40"/>
  <c r="E36" i="51"/>
  <c r="D20" i="51"/>
  <c r="E16" i="51"/>
  <c r="E24" i="51" s="1"/>
  <c r="E35" i="51"/>
  <c r="E12" i="42"/>
  <c r="H24" i="40"/>
  <c r="F16" i="52"/>
  <c r="I12" i="42"/>
  <c r="L24" i="40"/>
  <c r="L17" i="54"/>
  <c r="N17" i="54"/>
  <c r="K17" i="54"/>
  <c r="I17" i="54"/>
  <c r="J17" i="54"/>
  <c r="M17" i="54"/>
  <c r="N23" i="40"/>
  <c r="M24" i="40"/>
  <c r="P17" i="53"/>
  <c r="S17" i="53"/>
  <c r="V17" i="53"/>
  <c r="R17" i="53"/>
  <c r="Q17" i="53"/>
  <c r="T17" i="53"/>
  <c r="W17" i="53"/>
  <c r="O17" i="53"/>
  <c r="U17" i="53"/>
  <c r="U17" i="54"/>
  <c r="O17" i="54"/>
  <c r="P17" i="54"/>
  <c r="Q17" i="54"/>
  <c r="V17" i="54"/>
  <c r="W17" i="54"/>
  <c r="S17" i="54"/>
  <c r="T17" i="54"/>
  <c r="R17" i="54"/>
  <c r="L17" i="44"/>
  <c r="M17" i="44"/>
  <c r="K17" i="44"/>
  <c r="J17" i="44"/>
  <c r="N17" i="49"/>
  <c r="M17" i="49"/>
  <c r="J17" i="49"/>
  <c r="K17" i="49"/>
  <c r="I17" i="44"/>
  <c r="N17" i="44"/>
  <c r="L17" i="49"/>
  <c r="O17" i="50"/>
  <c r="P17" i="50"/>
  <c r="S17" i="50"/>
  <c r="R17" i="50"/>
  <c r="U17" i="50"/>
  <c r="T17" i="50"/>
  <c r="W17" i="50"/>
  <c r="V17" i="50"/>
  <c r="Q17" i="50"/>
  <c r="E11" i="42"/>
  <c r="H23" i="40"/>
  <c r="E17" i="53"/>
  <c r="G17" i="53"/>
  <c r="F17" i="53"/>
  <c r="D17" i="53"/>
  <c r="E36" i="53" s="1"/>
  <c r="H17" i="53"/>
  <c r="E17" i="54"/>
  <c r="G17" i="54"/>
  <c r="H17" i="54"/>
  <c r="D17" i="54"/>
  <c r="D20" i="54" s="1"/>
  <c r="F17" i="54"/>
  <c r="J22" i="40"/>
  <c r="N22" i="40"/>
  <c r="M23" i="40"/>
  <c r="E16" i="49"/>
  <c r="V17" i="49"/>
  <c r="T17" i="49"/>
  <c r="P17" i="49"/>
  <c r="P17" i="44"/>
  <c r="W17" i="44"/>
  <c r="T17" i="44"/>
  <c r="R17" i="44"/>
  <c r="U17" i="44"/>
  <c r="U17" i="49"/>
  <c r="Q17" i="44"/>
  <c r="O17" i="49"/>
  <c r="Q17" i="49"/>
  <c r="S17" i="49"/>
  <c r="R17" i="49"/>
  <c r="W17" i="49"/>
  <c r="O17" i="44"/>
  <c r="S17" i="44"/>
  <c r="V17" i="44"/>
  <c r="E16" i="50"/>
  <c r="G17" i="49"/>
  <c r="D17" i="49"/>
  <c r="D20" i="49" s="1"/>
  <c r="F17" i="44"/>
  <c r="F20" i="44" s="1"/>
  <c r="F17" i="49"/>
  <c r="E17" i="44"/>
  <c r="G17" i="44"/>
  <c r="H17" i="44"/>
  <c r="E17" i="49"/>
  <c r="D17" i="44"/>
  <c r="N17" i="50"/>
  <c r="L17" i="50"/>
  <c r="J17" i="50"/>
  <c r="M17" i="50"/>
  <c r="I17" i="50"/>
  <c r="K17" i="50"/>
  <c r="E10" i="42"/>
  <c r="H22" i="40"/>
  <c r="N17" i="53"/>
  <c r="M17" i="53"/>
  <c r="I17" i="53"/>
  <c r="J17" i="53"/>
  <c r="K17" i="53"/>
  <c r="L17" i="53"/>
  <c r="E16" i="53"/>
  <c r="E24" i="53" s="1"/>
  <c r="E36" i="54"/>
  <c r="E16" i="54"/>
  <c r="I10" i="42"/>
  <c r="L22" i="40"/>
  <c r="N24" i="40"/>
  <c r="I24" i="40"/>
  <c r="E24" i="50" l="1"/>
  <c r="E24" i="54"/>
  <c r="D24" i="49"/>
  <c r="D24" i="50"/>
  <c r="D24" i="54"/>
  <c r="E24" i="49"/>
  <c r="D24" i="53"/>
  <c r="E35" i="50"/>
  <c r="E37" i="54"/>
  <c r="E36" i="49"/>
  <c r="F24" i="44"/>
  <c r="E36" i="50"/>
  <c r="D9" i="43"/>
  <c r="D17" i="52"/>
  <c r="H17" i="52"/>
  <c r="G17" i="52"/>
  <c r="E17" i="52"/>
  <c r="F17" i="52"/>
  <c r="F24" i="52" s="1"/>
  <c r="E20" i="53"/>
  <c r="F16" i="53"/>
  <c r="F24" i="53" s="1"/>
  <c r="F16" i="51"/>
  <c r="F24" i="51" s="1"/>
  <c r="E20" i="51"/>
  <c r="J17" i="52"/>
  <c r="M17" i="52"/>
  <c r="K17" i="52"/>
  <c r="N17" i="52"/>
  <c r="I17" i="52"/>
  <c r="L17" i="52"/>
  <c r="E36" i="44"/>
  <c r="E35" i="44"/>
  <c r="D20" i="44"/>
  <c r="D24" i="44"/>
  <c r="E20" i="44"/>
  <c r="E24" i="44"/>
  <c r="E20" i="49"/>
  <c r="F16" i="49"/>
  <c r="F24" i="49" s="1"/>
  <c r="G16" i="52"/>
  <c r="H16" i="44"/>
  <c r="G24" i="44"/>
  <c r="G20" i="44"/>
  <c r="D20" i="53"/>
  <c r="D13" i="43"/>
  <c r="D10" i="43"/>
  <c r="R17" i="52"/>
  <c r="S17" i="52"/>
  <c r="W17" i="52"/>
  <c r="O17" i="52"/>
  <c r="U17" i="52"/>
  <c r="P17" i="52"/>
  <c r="T17" i="52"/>
  <c r="Q17" i="52"/>
  <c r="V17" i="52"/>
  <c r="E35" i="53"/>
  <c r="E35" i="49"/>
  <c r="F16" i="54"/>
  <c r="F24" i="54" s="1"/>
  <c r="E20" i="54"/>
  <c r="F16" i="50"/>
  <c r="F24" i="50" s="1"/>
  <c r="E20" i="50"/>
  <c r="D11" i="43"/>
  <c r="G24" i="52" l="1"/>
  <c r="F20" i="52"/>
  <c r="D20" i="52"/>
  <c r="D12" i="43" s="1"/>
  <c r="D24" i="52"/>
  <c r="E20" i="52"/>
  <c r="E24" i="52"/>
  <c r="G16" i="53"/>
  <c r="G24" i="53" s="1"/>
  <c r="F20" i="53"/>
  <c r="F20" i="51"/>
  <c r="G16" i="51"/>
  <c r="G24" i="51" s="1"/>
  <c r="F20" i="49"/>
  <c r="G16" i="49"/>
  <c r="G24" i="49" s="1"/>
  <c r="G16" i="54"/>
  <c r="G24" i="54" s="1"/>
  <c r="F20" i="54"/>
  <c r="D14" i="43"/>
  <c r="G20" i="52"/>
  <c r="H16" i="52"/>
  <c r="H24" i="52" s="1"/>
  <c r="G16" i="50"/>
  <c r="G24" i="50" s="1"/>
  <c r="F20" i="50"/>
  <c r="H20" i="44"/>
  <c r="H24" i="44"/>
  <c r="I16" i="44"/>
  <c r="D8" i="43"/>
  <c r="G20" i="50" l="1"/>
  <c r="H16" i="50"/>
  <c r="H24" i="50" s="1"/>
  <c r="G20" i="54"/>
  <c r="H16" i="54"/>
  <c r="H24" i="54" s="1"/>
  <c r="G20" i="53"/>
  <c r="H16" i="53"/>
  <c r="H24" i="53" s="1"/>
  <c r="I20" i="44"/>
  <c r="I24" i="44"/>
  <c r="J16" i="44"/>
  <c r="H20" i="52"/>
  <c r="I16" i="52"/>
  <c r="I24" i="52" s="1"/>
  <c r="H16" i="51"/>
  <c r="H24" i="51" s="1"/>
  <c r="G20" i="51"/>
  <c r="G20" i="49"/>
  <c r="H20" i="54" l="1"/>
  <c r="I16" i="54"/>
  <c r="I24" i="54" s="1"/>
  <c r="H20" i="51"/>
  <c r="I16" i="51"/>
  <c r="I24" i="51" s="1"/>
  <c r="I20" i="52"/>
  <c r="J16" i="52"/>
  <c r="J24" i="52" s="1"/>
  <c r="J20" i="44"/>
  <c r="K16" i="44"/>
  <c r="J24" i="44"/>
  <c r="H20" i="53"/>
  <c r="I16" i="53"/>
  <c r="I24" i="53" s="1"/>
  <c r="H20" i="50"/>
  <c r="I16" i="50"/>
  <c r="I24" i="50" s="1"/>
  <c r="I20" i="54" l="1"/>
  <c r="J16" i="54"/>
  <c r="J24" i="54" s="1"/>
  <c r="I20" i="53"/>
  <c r="J16" i="53"/>
  <c r="J24" i="53" s="1"/>
  <c r="K20" i="44"/>
  <c r="L16" i="44"/>
  <c r="K24" i="44"/>
  <c r="I20" i="50"/>
  <c r="J16" i="50"/>
  <c r="J24" i="50" s="1"/>
  <c r="K16" i="52"/>
  <c r="K24" i="52" s="1"/>
  <c r="J20" i="52"/>
  <c r="J16" i="51"/>
  <c r="J24" i="51" s="1"/>
  <c r="I20" i="51"/>
  <c r="J20" i="53" l="1"/>
  <c r="K16" i="53"/>
  <c r="K24" i="53" s="1"/>
  <c r="J20" i="51"/>
  <c r="K16" i="51"/>
  <c r="K24" i="51" s="1"/>
  <c r="K16" i="50"/>
  <c r="K24" i="50" s="1"/>
  <c r="J20" i="50"/>
  <c r="L16" i="52"/>
  <c r="L24" i="52" s="1"/>
  <c r="K20" i="52"/>
  <c r="L24" i="44"/>
  <c r="M16" i="44"/>
  <c r="L20" i="44"/>
  <c r="K16" i="54"/>
  <c r="K24" i="54" s="1"/>
  <c r="J20" i="54"/>
  <c r="K20" i="54" l="1"/>
  <c r="L16" i="54"/>
  <c r="L24" i="54" s="1"/>
  <c r="K20" i="53"/>
  <c r="L16" i="53"/>
  <c r="L24" i="53" s="1"/>
  <c r="L20" i="52"/>
  <c r="M16" i="52"/>
  <c r="M24" i="52" s="1"/>
  <c r="K20" i="50"/>
  <c r="L16" i="50"/>
  <c r="L24" i="50" s="1"/>
  <c r="M20" i="44"/>
  <c r="N16" i="44"/>
  <c r="M24" i="44"/>
  <c r="L16" i="51"/>
  <c r="L24" i="51" s="1"/>
  <c r="K20" i="51"/>
  <c r="M16" i="51" l="1"/>
  <c r="M24" i="51" s="1"/>
  <c r="L20" i="51"/>
  <c r="L20" i="50"/>
  <c r="M16" i="50"/>
  <c r="M24" i="50" s="1"/>
  <c r="L20" i="54"/>
  <c r="M16" i="54"/>
  <c r="M24" i="54" s="1"/>
  <c r="M20" i="52"/>
  <c r="N16" i="52"/>
  <c r="N24" i="52" s="1"/>
  <c r="N24" i="44"/>
  <c r="N20" i="44"/>
  <c r="O16" i="44"/>
  <c r="M16" i="53"/>
  <c r="M24" i="53" s="1"/>
  <c r="L20" i="53"/>
  <c r="P16" i="44" l="1"/>
  <c r="O20" i="44"/>
  <c r="O24" i="44"/>
  <c r="M20" i="54"/>
  <c r="N16" i="54"/>
  <c r="N24" i="54" s="1"/>
  <c r="N20" i="52"/>
  <c r="O16" i="52"/>
  <c r="O24" i="52" s="1"/>
  <c r="N16" i="51"/>
  <c r="N24" i="51" s="1"/>
  <c r="M20" i="51"/>
  <c r="M20" i="53"/>
  <c r="N16" i="53"/>
  <c r="N24" i="53" s="1"/>
  <c r="N16" i="50"/>
  <c r="N24" i="50" s="1"/>
  <c r="M20" i="50"/>
  <c r="N20" i="50" l="1"/>
  <c r="O16" i="50"/>
  <c r="O24" i="50" s="1"/>
  <c r="N20" i="53"/>
  <c r="O16" i="53"/>
  <c r="O24" i="53" s="1"/>
  <c r="Q16" i="44"/>
  <c r="P20" i="44"/>
  <c r="P24" i="44"/>
  <c r="N20" i="51"/>
  <c r="O16" i="51"/>
  <c r="O24" i="51" s="1"/>
  <c r="P16" i="52"/>
  <c r="P24" i="52" s="1"/>
  <c r="O20" i="52"/>
  <c r="O16" i="54"/>
  <c r="O24" i="54" s="1"/>
  <c r="N20" i="54"/>
  <c r="O20" i="53" l="1"/>
  <c r="P16" i="53"/>
  <c r="P24" i="53" s="1"/>
  <c r="Q24" i="44"/>
  <c r="R16" i="44"/>
  <c r="Q20" i="44"/>
  <c r="O20" i="54"/>
  <c r="P16" i="54"/>
  <c r="P24" i="54" s="1"/>
  <c r="P16" i="51"/>
  <c r="P24" i="51" s="1"/>
  <c r="O20" i="51"/>
  <c r="P20" i="52"/>
  <c r="Q16" i="52"/>
  <c r="Q24" i="52" s="1"/>
  <c r="O20" i="50"/>
  <c r="P16" i="50"/>
  <c r="P24" i="50" s="1"/>
  <c r="R20" i="44" l="1"/>
  <c r="R24" i="44"/>
  <c r="S16" i="44"/>
  <c r="Q20" i="52"/>
  <c r="R16" i="52"/>
  <c r="R24" i="52" s="1"/>
  <c r="P20" i="54"/>
  <c r="Q16" i="54"/>
  <c r="Q24" i="54" s="1"/>
  <c r="P20" i="51"/>
  <c r="Q16" i="51"/>
  <c r="Q24" i="51" s="1"/>
  <c r="P20" i="50"/>
  <c r="Q16" i="50"/>
  <c r="Q24" i="50" s="1"/>
  <c r="Q16" i="53"/>
  <c r="Q24" i="53" s="1"/>
  <c r="P20" i="53"/>
  <c r="Q20" i="50" l="1"/>
  <c r="R16" i="50"/>
  <c r="R24" i="50" s="1"/>
  <c r="R16" i="54"/>
  <c r="R24" i="54" s="1"/>
  <c r="Q20" i="54"/>
  <c r="Q20" i="53"/>
  <c r="R16" i="53"/>
  <c r="R24" i="53" s="1"/>
  <c r="R16" i="51"/>
  <c r="R24" i="51" s="1"/>
  <c r="Q20" i="51"/>
  <c r="S20" i="44"/>
  <c r="S24" i="44"/>
  <c r="T16" i="44"/>
  <c r="S16" i="52"/>
  <c r="S24" i="52" s="1"/>
  <c r="R20" i="52"/>
  <c r="U16" i="44" l="1"/>
  <c r="T20" i="44"/>
  <c r="T24" i="44"/>
  <c r="S16" i="50"/>
  <c r="S24" i="50" s="1"/>
  <c r="R20" i="50"/>
  <c r="R20" i="54"/>
  <c r="S16" i="54"/>
  <c r="S24" i="54" s="1"/>
  <c r="T16" i="52"/>
  <c r="T24" i="52" s="1"/>
  <c r="S20" i="52"/>
  <c r="R20" i="53"/>
  <c r="S16" i="53"/>
  <c r="S24" i="53" s="1"/>
  <c r="R20" i="51"/>
  <c r="S16" i="51"/>
  <c r="S24" i="51" s="1"/>
  <c r="S20" i="54" l="1"/>
  <c r="T16" i="54"/>
  <c r="T24" i="54" s="1"/>
  <c r="U24" i="44"/>
  <c r="U20" i="44"/>
  <c r="V16" i="44"/>
  <c r="T20" i="52"/>
  <c r="U16" i="52"/>
  <c r="U24" i="52" s="1"/>
  <c r="T16" i="53"/>
  <c r="T24" i="53" s="1"/>
  <c r="S20" i="53"/>
  <c r="T16" i="50"/>
  <c r="T24" i="50" s="1"/>
  <c r="S20" i="50"/>
  <c r="S20" i="51"/>
  <c r="T16" i="51"/>
  <c r="T24" i="51" s="1"/>
  <c r="U16" i="51" l="1"/>
  <c r="U24" i="51" s="1"/>
  <c r="T20" i="51"/>
  <c r="V24" i="44"/>
  <c r="W16" i="44"/>
  <c r="V20" i="44"/>
  <c r="T20" i="50"/>
  <c r="U16" i="50"/>
  <c r="U24" i="50" s="1"/>
  <c r="T20" i="54"/>
  <c r="U16" i="54"/>
  <c r="U24" i="54" s="1"/>
  <c r="U20" i="52"/>
  <c r="V16" i="52"/>
  <c r="V24" i="52" s="1"/>
  <c r="T20" i="53"/>
  <c r="U16" i="53"/>
  <c r="U24" i="53" s="1"/>
  <c r="W16" i="52" l="1"/>
  <c r="W24" i="52" s="1"/>
  <c r="V20" i="52"/>
  <c r="V16" i="50"/>
  <c r="V24" i="50" s="1"/>
  <c r="U20" i="50"/>
  <c r="U20" i="51"/>
  <c r="V16" i="51"/>
  <c r="V24" i="51" s="1"/>
  <c r="U20" i="53"/>
  <c r="V16" i="53"/>
  <c r="V24" i="53" s="1"/>
  <c r="V16" i="54"/>
  <c r="V24" i="54" s="1"/>
  <c r="U20" i="54"/>
  <c r="W24" i="44"/>
  <c r="X16" i="44"/>
  <c r="W20" i="44"/>
  <c r="V20" i="53" l="1"/>
  <c r="W16" i="53"/>
  <c r="W24" i="53" s="1"/>
  <c r="X16" i="52"/>
  <c r="X24" i="52" s="1"/>
  <c r="W20" i="52"/>
  <c r="W16" i="50"/>
  <c r="W24" i="50" s="1"/>
  <c r="V20" i="50"/>
  <c r="X20" i="44"/>
  <c r="Y16" i="44"/>
  <c r="X24" i="44"/>
  <c r="W16" i="54"/>
  <c r="W24" i="54" s="1"/>
  <c r="V20" i="54"/>
  <c r="W16" i="51"/>
  <c r="W24" i="51" s="1"/>
  <c r="V20" i="51"/>
  <c r="W20" i="53" l="1"/>
  <c r="X16" i="53"/>
  <c r="X24" i="53" s="1"/>
  <c r="X16" i="51"/>
  <c r="X24" i="51" s="1"/>
  <c r="W20" i="51"/>
  <c r="W20" i="50"/>
  <c r="X16" i="50"/>
  <c r="X24" i="50" s="1"/>
  <c r="X20" i="52"/>
  <c r="Y16" i="52"/>
  <c r="Y24" i="52" s="1"/>
  <c r="Y20" i="44"/>
  <c r="Y24" i="44"/>
  <c r="Z16" i="44"/>
  <c r="W20" i="54"/>
  <c r="X16" i="54"/>
  <c r="X24" i="54" s="1"/>
  <c r="Y20" i="52" l="1"/>
  <c r="Z16" i="52"/>
  <c r="Z24" i="52" s="1"/>
  <c r="X20" i="51"/>
  <c r="Y16" i="51"/>
  <c r="Y24" i="51" s="1"/>
  <c r="Z24" i="44"/>
  <c r="AA16" i="44"/>
  <c r="Z20" i="44"/>
  <c r="X20" i="53"/>
  <c r="Y16" i="53"/>
  <c r="Y24" i="53" s="1"/>
  <c r="X20" i="54"/>
  <c r="Y16" i="54"/>
  <c r="Y24" i="54" s="1"/>
  <c r="X20" i="50"/>
  <c r="Y16" i="50"/>
  <c r="Y24" i="50" s="1"/>
  <c r="Z20" i="52" l="1"/>
  <c r="AA16" i="52"/>
  <c r="AA24" i="52" s="1"/>
  <c r="Z16" i="54"/>
  <c r="Z24" i="54" s="1"/>
  <c r="Y20" i="54"/>
  <c r="AA20" i="44"/>
  <c r="AA24" i="44"/>
  <c r="AB16" i="44"/>
  <c r="Y20" i="50"/>
  <c r="Z16" i="50"/>
  <c r="Z24" i="50" s="1"/>
  <c r="Z16" i="53"/>
  <c r="Z24" i="53" s="1"/>
  <c r="Y20" i="53"/>
  <c r="Y20" i="51"/>
  <c r="Z16" i="51"/>
  <c r="Z24" i="51" s="1"/>
  <c r="AB24" i="44" l="1"/>
  <c r="H31" i="44" s="1"/>
  <c r="AB20" i="44"/>
  <c r="G6" i="44" s="1"/>
  <c r="Z20" i="54"/>
  <c r="AA16" i="54"/>
  <c r="AA24" i="54" s="1"/>
  <c r="Z20" i="51"/>
  <c r="AA16" i="51"/>
  <c r="AA24" i="51" s="1"/>
  <c r="AA16" i="50"/>
  <c r="AA24" i="50" s="1"/>
  <c r="Z20" i="50"/>
  <c r="AA16" i="53"/>
  <c r="AA24" i="53" s="1"/>
  <c r="Z20" i="53"/>
  <c r="AB16" i="52"/>
  <c r="AA20" i="52"/>
  <c r="AB20" i="52" l="1"/>
  <c r="G6" i="52" s="1"/>
  <c r="AB24" i="52"/>
  <c r="H31" i="52" s="1"/>
  <c r="I31" i="44"/>
  <c r="I33" i="44" s="1"/>
  <c r="J24" i="43" s="1"/>
  <c r="AB16" i="50"/>
  <c r="AA20" i="50"/>
  <c r="J31" i="44"/>
  <c r="J33" i="44" s="1"/>
  <c r="K24" i="43" s="1"/>
  <c r="E8" i="43"/>
  <c r="G8" i="44"/>
  <c r="AA20" i="53"/>
  <c r="AB16" i="53"/>
  <c r="AA20" i="54"/>
  <c r="AB16" i="54"/>
  <c r="AB16" i="51"/>
  <c r="AA20" i="51"/>
  <c r="J31" i="52" l="1"/>
  <c r="J33" i="52" s="1"/>
  <c r="K28" i="43" s="1"/>
  <c r="I31" i="52"/>
  <c r="I33" i="52" s="1"/>
  <c r="J28" i="43" s="1"/>
  <c r="G8" i="52"/>
  <c r="F34" i="52" s="1"/>
  <c r="AB20" i="53"/>
  <c r="G6" i="53" s="1"/>
  <c r="AB24" i="53"/>
  <c r="H31" i="53" s="1"/>
  <c r="AB20" i="54"/>
  <c r="G6" i="54" s="1"/>
  <c r="AB24" i="54"/>
  <c r="H30" i="54" s="1"/>
  <c r="E12" i="43"/>
  <c r="AB20" i="51"/>
  <c r="G6" i="51" s="1"/>
  <c r="AB24" i="51"/>
  <c r="H31" i="51" s="1"/>
  <c r="AB20" i="50"/>
  <c r="G6" i="50" s="1"/>
  <c r="AB24" i="50"/>
  <c r="H31" i="50" s="1"/>
  <c r="F29" i="44"/>
  <c r="F39" i="44"/>
  <c r="F34" i="44"/>
  <c r="F8" i="43"/>
  <c r="G8" i="43" s="1"/>
  <c r="G8" i="53" l="1"/>
  <c r="F34" i="53" s="1"/>
  <c r="J31" i="53"/>
  <c r="J33" i="53" s="1"/>
  <c r="K30" i="43" s="1"/>
  <c r="I31" i="53"/>
  <c r="I33" i="53" s="1"/>
  <c r="J30" i="43" s="1"/>
  <c r="G8" i="54"/>
  <c r="F13" i="43" s="1"/>
  <c r="G13" i="43" s="1"/>
  <c r="J30" i="54"/>
  <c r="J32" i="54" s="1"/>
  <c r="K29" i="43" s="1"/>
  <c r="I30" i="54"/>
  <c r="I32" i="54" s="1"/>
  <c r="J29" i="43" s="1"/>
  <c r="F39" i="52"/>
  <c r="F29" i="52"/>
  <c r="F12" i="43"/>
  <c r="G12" i="43" s="1"/>
  <c r="G8" i="51"/>
  <c r="F29" i="51" s="1"/>
  <c r="J31" i="51"/>
  <c r="J33" i="51" s="1"/>
  <c r="K27" i="43" s="1"/>
  <c r="I31" i="51"/>
  <c r="I33" i="51" s="1"/>
  <c r="J27" i="43" s="1"/>
  <c r="G8" i="50"/>
  <c r="F34" i="50" s="1"/>
  <c r="J31" i="50"/>
  <c r="J33" i="50" s="1"/>
  <c r="K26" i="43" s="1"/>
  <c r="I31" i="50"/>
  <c r="I33" i="50" s="1"/>
  <c r="J26" i="43" s="1"/>
  <c r="E10" i="43"/>
  <c r="E11" i="43"/>
  <c r="E14" i="43"/>
  <c r="E13" i="43"/>
  <c r="H17" i="49"/>
  <c r="H11" i="49"/>
  <c r="H18" i="49" s="1"/>
  <c r="I17" i="49"/>
  <c r="I15" i="49"/>
  <c r="H15" i="49"/>
  <c r="I11" i="49"/>
  <c r="F39" i="53" l="1"/>
  <c r="F14" i="43"/>
  <c r="G14" i="43" s="1"/>
  <c r="F29" i="53"/>
  <c r="F40" i="54"/>
  <c r="I29" i="43" s="1"/>
  <c r="F29" i="54"/>
  <c r="F35" i="54"/>
  <c r="G29" i="43" s="1"/>
  <c r="F39" i="51"/>
  <c r="F34" i="51"/>
  <c r="F11" i="43"/>
  <c r="G11" i="43" s="1"/>
  <c r="F29" i="50"/>
  <c r="F39" i="50"/>
  <c r="F10" i="43"/>
  <c r="G10" i="43" s="1"/>
  <c r="I18" i="49"/>
  <c r="J18" i="49" s="1"/>
  <c r="K18" i="49" s="1"/>
  <c r="L18" i="49" s="1"/>
  <c r="M18" i="49" s="1"/>
  <c r="N18" i="49" s="1"/>
  <c r="O18" i="49" s="1"/>
  <c r="P18" i="49" s="1"/>
  <c r="Q18" i="49" s="1"/>
  <c r="R18" i="49" s="1"/>
  <c r="S18" i="49" s="1"/>
  <c r="T18" i="49" s="1"/>
  <c r="U18" i="49" s="1"/>
  <c r="V18" i="49" s="1"/>
  <c r="W18" i="49" s="1"/>
  <c r="X18" i="49" s="1"/>
  <c r="Y18" i="49" s="1"/>
  <c r="Z18" i="49" s="1"/>
  <c r="AA18" i="49" s="1"/>
  <c r="AB18" i="49" s="1"/>
  <c r="H22" i="49"/>
  <c r="H16" i="49"/>
  <c r="H24" i="49" s="1"/>
  <c r="H20" i="49" l="1"/>
  <c r="I16" i="49"/>
  <c r="I22" i="49"/>
  <c r="J22" i="49" s="1"/>
  <c r="K22" i="49" s="1"/>
  <c r="L22" i="49" s="1"/>
  <c r="M22" i="49" s="1"/>
  <c r="N22" i="49" s="1"/>
  <c r="O22" i="49" s="1"/>
  <c r="P22" i="49" s="1"/>
  <c r="Q22" i="49" s="1"/>
  <c r="R22" i="49" s="1"/>
  <c r="S22" i="49" s="1"/>
  <c r="T22" i="49" s="1"/>
  <c r="U22" i="49" s="1"/>
  <c r="V22" i="49" s="1"/>
  <c r="W22" i="49" s="1"/>
  <c r="X22" i="49" s="1"/>
  <c r="Y22" i="49" s="1"/>
  <c r="Z22" i="49" s="1"/>
  <c r="AA22" i="49" s="1"/>
  <c r="AB22" i="49" s="1"/>
  <c r="H32" i="49" l="1"/>
  <c r="I20" i="49"/>
  <c r="I24" i="49"/>
  <c r="J16" i="49"/>
  <c r="G7" i="49"/>
  <c r="J32" i="49" s="1"/>
  <c r="I32" i="49" l="1"/>
  <c r="J20" i="49"/>
  <c r="J24" i="49"/>
  <c r="K16" i="49"/>
  <c r="K20" i="49" l="1"/>
  <c r="L16" i="49"/>
  <c r="K24" i="49"/>
  <c r="L24" i="49" l="1"/>
  <c r="M16" i="49"/>
  <c r="L20" i="49"/>
  <c r="M20" i="49" l="1"/>
  <c r="M24" i="49"/>
  <c r="N16" i="49"/>
  <c r="N24" i="49" l="1"/>
  <c r="O16" i="49"/>
  <c r="N20" i="49"/>
  <c r="O24" i="49" l="1"/>
  <c r="O20" i="49"/>
  <c r="P16" i="49"/>
  <c r="Q16" i="49" l="1"/>
  <c r="P24" i="49"/>
  <c r="P20" i="49"/>
  <c r="Q24" i="49" l="1"/>
  <c r="Q20" i="49"/>
  <c r="R16" i="49"/>
  <c r="R20" i="49" l="1"/>
  <c r="R24" i="49"/>
  <c r="S16" i="49"/>
  <c r="S24" i="49" l="1"/>
  <c r="S20" i="49"/>
  <c r="T16" i="49"/>
  <c r="T24" i="49" l="1"/>
  <c r="U16" i="49"/>
  <c r="T20" i="49"/>
  <c r="U24" i="49" l="1"/>
  <c r="U20" i="49"/>
  <c r="V16" i="49"/>
  <c r="V20" i="49" l="1"/>
  <c r="W16" i="49"/>
  <c r="V24" i="49"/>
  <c r="W20" i="49" l="1"/>
  <c r="W24" i="49"/>
  <c r="X16" i="49"/>
  <c r="X24" i="49" l="1"/>
  <c r="X20" i="49"/>
  <c r="Y16" i="49"/>
  <c r="Y24" i="49" l="1"/>
  <c r="Y20" i="49"/>
  <c r="Z16" i="49"/>
  <c r="Z20" i="49" l="1"/>
  <c r="AA16" i="49"/>
  <c r="Z24" i="49"/>
  <c r="AB16" i="49" l="1"/>
  <c r="AA24" i="49"/>
  <c r="AA20" i="49"/>
  <c r="AB20" i="49" l="1"/>
  <c r="G6" i="49" s="1"/>
  <c r="AB24" i="49"/>
  <c r="H31" i="49" s="1"/>
  <c r="J31" i="49" l="1"/>
  <c r="J33" i="49" s="1"/>
  <c r="K25" i="43" s="1"/>
  <c r="I31" i="49"/>
  <c r="I33" i="49" s="1"/>
  <c r="J25" i="43" s="1"/>
  <c r="E9" i="43"/>
  <c r="G8" i="49"/>
  <c r="F29" i="49" l="1"/>
  <c r="F39" i="49"/>
  <c r="F34" i="49"/>
  <c r="F9" i="43"/>
  <c r="G9" i="43" s="1"/>
</calcChain>
</file>

<file path=xl/sharedStrings.xml><?xml version="1.0" encoding="utf-8"?>
<sst xmlns="http://schemas.openxmlformats.org/spreadsheetml/2006/main" count="384" uniqueCount="169">
  <si>
    <t>Year</t>
  </si>
  <si>
    <t>Insurance</t>
  </si>
  <si>
    <t>Capital cost</t>
  </si>
  <si>
    <t>O&amp;M</t>
  </si>
  <si>
    <t>GJ</t>
  </si>
  <si>
    <t>Capital Cost of Plant</t>
  </si>
  <si>
    <t>Trigger Cell</t>
  </si>
  <si>
    <t>DCF (Discounted Cash Flow) Analysis</t>
  </si>
  <si>
    <t>Wood chip</t>
  </si>
  <si>
    <t>Coal</t>
  </si>
  <si>
    <t>Boiler including fuel handling, de-ashing,emission control equipment and ancillary systems, or alternative heat plant</t>
  </si>
  <si>
    <t>Per quotation</t>
  </si>
  <si>
    <t>Required to cover exclusions</t>
  </si>
  <si>
    <t>Installation and commissioning</t>
  </si>
  <si>
    <t>Spares, tools and stores</t>
  </si>
  <si>
    <t>Sub total</t>
  </si>
  <si>
    <t>Ancillary and site works</t>
  </si>
  <si>
    <t>Fuel storage and processing: storage bin, reclaim system, drying, loaders, conveyors</t>
  </si>
  <si>
    <t>Buildings: boiler house, control room, maintenance workshop, ablutions, lunchroom</t>
  </si>
  <si>
    <t>Roading, paving, stormwater &amp; landscaping</t>
  </si>
  <si>
    <t>Ash disposal systems, bins, handling equipment</t>
  </si>
  <si>
    <t>Electrical supply interconnection</t>
  </si>
  <si>
    <t>Lighting, including security lighting</t>
  </si>
  <si>
    <t>Remote control and monitoring systems</t>
  </si>
  <si>
    <t>Integration of controls with existing plant</t>
  </si>
  <si>
    <t>Consultants and services</t>
  </si>
  <si>
    <t>Engineering and design</t>
  </si>
  <si>
    <t>Staff recruitment and training</t>
  </si>
  <si>
    <t>Total, ex-contingencies</t>
  </si>
  <si>
    <t>%</t>
  </si>
  <si>
    <t>Contingencies @</t>
  </si>
  <si>
    <t>Total including contingencies</t>
  </si>
  <si>
    <t>In range 62 to 73%, dep. on moisture</t>
  </si>
  <si>
    <t>80-85%</t>
  </si>
  <si>
    <t>Nominally 100%</t>
  </si>
  <si>
    <t>COP say 3.5, up to 5 for commercial scale facilities</t>
  </si>
  <si>
    <t>Up to 80%, depending on moisture content</t>
  </si>
  <si>
    <t>Diesel, fuel oil</t>
  </si>
  <si>
    <t>Parasitic electricity consumption</t>
  </si>
  <si>
    <t>Other consumables</t>
  </si>
  <si>
    <t>Maintenance contract</t>
  </si>
  <si>
    <t>Annual plant shut/overhall</t>
  </si>
  <si>
    <t>Cost of disposal (i.e. to landfill)</t>
  </si>
  <si>
    <t>Service contractor costs</t>
  </si>
  <si>
    <t>Total annual cost</t>
  </si>
  <si>
    <t>Fuel cost</t>
  </si>
  <si>
    <t xml:space="preserve">  Total  annual costs</t>
  </si>
  <si>
    <t>Siteworks, civil costs, piling and foundations,</t>
  </si>
  <si>
    <t>Ash disposal:</t>
  </si>
  <si>
    <t>Residual value</t>
  </si>
  <si>
    <t>Wood pellets</t>
  </si>
  <si>
    <t>Natural gas or LPG</t>
  </si>
  <si>
    <t>Electricity (direct use)</t>
  </si>
  <si>
    <t>Electricity (Heat pump)</t>
  </si>
  <si>
    <t>Total capital including contingencies</t>
  </si>
  <si>
    <t>Total annual cost (O&amp;M)</t>
  </si>
  <si>
    <t>Emission factor (KT CO2/PJ)</t>
  </si>
  <si>
    <t>Levelised cost per GJ</t>
  </si>
  <si>
    <t>Financial information (common)</t>
  </si>
  <si>
    <t>Costs</t>
  </si>
  <si>
    <t>Energy NPV</t>
  </si>
  <si>
    <t>Costs NPV</t>
  </si>
  <si>
    <t>Energy output (GJ)</t>
  </si>
  <si>
    <t>Scenario</t>
  </si>
  <si>
    <t>Plant replacement (years)</t>
  </si>
  <si>
    <t>Sensitivities</t>
  </si>
  <si>
    <t>plus 20%</t>
  </si>
  <si>
    <t>minus 10%</t>
  </si>
  <si>
    <t>Capital</t>
  </si>
  <si>
    <t>Fuel</t>
  </si>
  <si>
    <t>SENSITIVITIES</t>
  </si>
  <si>
    <t>Plus 20%</t>
  </si>
  <si>
    <t>Minus 10%</t>
  </si>
  <si>
    <t>Residual value (% of original cost)</t>
  </si>
  <si>
    <t xml:space="preserve">Additional benefits/costs </t>
  </si>
  <si>
    <t xml:space="preserve">  Additional benefits/costs </t>
  </si>
  <si>
    <t>Heat distribution system cost</t>
  </si>
  <si>
    <t>BANZ Technical Guide 14</t>
  </si>
  <si>
    <t>Lifecycle analysis of heat plants</t>
  </si>
  <si>
    <t>Electricity (heat pump)</t>
  </si>
  <si>
    <t>Sheet 6, DCF model:</t>
  </si>
  <si>
    <t>Sheet 7, DCF model:</t>
  </si>
  <si>
    <t>Sheet 8, DCF model:</t>
  </si>
  <si>
    <t>Sheet 9, DCF model:</t>
  </si>
  <si>
    <t>Sheet 10, DCF model:</t>
  </si>
  <si>
    <t>Sheet 11, DCF model:</t>
  </si>
  <si>
    <t xml:space="preserve">   Mechanical, process and electrical</t>
  </si>
  <si>
    <t xml:space="preserve">   Environmental</t>
  </si>
  <si>
    <t xml:space="preserve">   Project management</t>
  </si>
  <si>
    <t>Standard procedures, manuals &amp; documents</t>
  </si>
  <si>
    <t>$</t>
  </si>
  <si>
    <t>Fuel cost per GJ</t>
  </si>
  <si>
    <t>Project life (years) for modelling</t>
  </si>
  <si>
    <t>INPUT FOR EACH FUEL SCENARIO</t>
  </si>
  <si>
    <t>Additional benefits/costs (NEGATIVE IF A COST)</t>
  </si>
  <si>
    <t>Fuel requirement (calculated)</t>
  </si>
  <si>
    <t xml:space="preserve">https://www.bioenergy.org.nz/resource/tg14-Life-cycle-analysis-heat-plant </t>
  </si>
  <si>
    <t xml:space="preserve"> COP in case of heat pumps</t>
  </si>
  <si>
    <t>Introduction to financial model</t>
  </si>
  <si>
    <t>This financial model provides the methodology and tools for calculating the LCOE (levelised cost of energy) from a range of fuel and technology options</t>
  </si>
  <si>
    <t>It is a companion to the BANZ Technical Guide 14: Best practice guideline for life cycle analysis of heat plant projects</t>
  </si>
  <si>
    <t xml:space="preserve">A description of the model is in Section 6 of the Guide, and </t>
  </si>
  <si>
    <t xml:space="preserve">The Guide and this model can be downloaded from: </t>
  </si>
  <si>
    <t xml:space="preserve"> </t>
  </si>
  <si>
    <t xml:space="preserve">Heat required (GJ) </t>
  </si>
  <si>
    <r>
      <t>Annual tonnes of CO</t>
    </r>
    <r>
      <rPr>
        <sz val="8"/>
        <rFont val="Arial"/>
        <family val="2"/>
      </rPr>
      <t>2</t>
    </r>
  </si>
  <si>
    <t>Typical fuel conversion efficiency, by fuel (gross)</t>
  </si>
  <si>
    <t xml:space="preserve">Notes: </t>
  </si>
  <si>
    <t>Indicative wood fuel calorific value (gross)</t>
  </si>
  <si>
    <t>Seasoned chip: 30% moisture content, 13.5GJ/tonne</t>
  </si>
  <si>
    <t>Partially seasoned chip: 40% mosture content, 11.5 GJ/tonne</t>
  </si>
  <si>
    <t>Green wood chip: circa 50% mositure content, 8GJ/tonne</t>
  </si>
  <si>
    <t>NPV (pre-tax)</t>
  </si>
  <si>
    <t>Levelised heat cost per GJ</t>
  </si>
  <si>
    <t>Sheet 5: Modelling outputs</t>
  </si>
  <si>
    <t>Sheet 12, DCF model:</t>
  </si>
  <si>
    <t xml:space="preserve">                      Sheet 1: Capital costs</t>
  </si>
  <si>
    <t xml:space="preserve">            Sheet 2: Operating and maintenance costs</t>
  </si>
  <si>
    <t xml:space="preserve">            Sheet 3: Fuel costs</t>
  </si>
  <si>
    <t xml:space="preserve">            Sheet 4: Modelling inputs</t>
  </si>
  <si>
    <t xml:space="preserve">Excluding </t>
  </si>
  <si>
    <t>WACC (real)</t>
  </si>
  <si>
    <t>Operations and maintenance staff</t>
  </si>
  <si>
    <t>Callouts and breakages</t>
  </si>
  <si>
    <t>Water supply and treatment, effluent/sanitory disposal</t>
  </si>
  <si>
    <t>Security fencing, fire protection and alarm systems</t>
  </si>
  <si>
    <t xml:space="preserve">   Geotech investigations and civil design</t>
  </si>
  <si>
    <t>Heat production efficiency (gross)</t>
  </si>
  <si>
    <t>Annual heat cost Year 1</t>
  </si>
  <si>
    <t>Wood chip (dry)</t>
  </si>
  <si>
    <t>Wood chip (wet)</t>
  </si>
  <si>
    <t>Diesel, LFO</t>
  </si>
  <si>
    <t xml:space="preserve"> LPG</t>
  </si>
  <si>
    <t>Option</t>
  </si>
  <si>
    <t>Instructions for use are detailed in Section 7 of the Guide</t>
  </si>
  <si>
    <t>Pinus radiata</t>
  </si>
  <si>
    <t>capital recovery</t>
  </si>
  <si>
    <t>Levelised heat cost per kWh</t>
  </si>
  <si>
    <t>Other fuels</t>
  </si>
  <si>
    <t>Diesel, fuel oil: 42 GJ/tonne</t>
  </si>
  <si>
    <t xml:space="preserve">Natural gas, LPG: 54 GJ/tonne </t>
  </si>
  <si>
    <t>Coal: from 15 GJ/tonne (lignite) to 22 GJ/tonne (sub-bituminous)</t>
  </si>
  <si>
    <t>Heat load</t>
  </si>
  <si>
    <t>Minus 20%</t>
  </si>
  <si>
    <t>Carbon cost</t>
  </si>
  <si>
    <t>Fuel inflation rate (above normal inflation)</t>
  </si>
  <si>
    <t>Ann. cost of fuel (ex carbon cost)</t>
  </si>
  <si>
    <t>Annual emmission cost from year:</t>
  </si>
  <si>
    <t>From</t>
  </si>
  <si>
    <t>year</t>
  </si>
  <si>
    <t>tonne</t>
  </si>
  <si>
    <t>Rate/</t>
  </si>
  <si>
    <t>From year</t>
  </si>
  <si>
    <t>Do we need to inflate</t>
  </si>
  <si>
    <t>Annual emmission cost                                   from Year</t>
  </si>
  <si>
    <t>Annual fuel cost  year 1</t>
  </si>
  <si>
    <t>HEAT REQUIRED GJ</t>
  </si>
  <si>
    <t xml:space="preserve">For heat requirement of </t>
  </si>
  <si>
    <t>Annual cost of fuel (incl carbon cost)</t>
  </si>
  <si>
    <t>Load plus 20%</t>
  </si>
  <si>
    <t>Load -20%</t>
  </si>
  <si>
    <t xml:space="preserve">  (Per annum)</t>
  </si>
  <si>
    <t>Fuel plus Carbon costs</t>
  </si>
  <si>
    <t xml:space="preserve">Levelised heat cost per GJ for heat requirement of </t>
  </si>
  <si>
    <t>(Year 1)</t>
  </si>
  <si>
    <t>Additional benefit/cost (NEGATIVE IF A COST)</t>
  </si>
  <si>
    <t>Project insurance</t>
  </si>
  <si>
    <t>Legal, building consents and other fees</t>
  </si>
  <si>
    <t>Note: this financial model has some cells hidden and others,  not required for data input, are locked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</si>
</sst>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0.0%"/>
    <numFmt numFmtId="166" formatCode="_-&quot;$&quot;* #,##0_-;\-&quot;$&quot;* #,##0_-;_-&quot;$&quot;* &quot;-&quot;??_-;_-@_-"/>
    <numFmt numFmtId="167" formatCode="&quot;$&quot;#,##0"/>
    <numFmt numFmtId="168" formatCode="&quot;$&quot;#,##0.00"/>
    <numFmt numFmtId="169" formatCode="_(&quot;$&quot;* #,##0.0_);_(&quot;$&quot;* \(#,##0.0\);_(&quot;$&quot;* &quot;-&quot;?_);_(@_)"/>
    <numFmt numFmtId="170" formatCode="&quot;$&quot;#,##0.00;[Red]&quot;$&quot;#,##0.00"/>
  </numFmts>
  <fonts count="3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24"/>
      <name val="Arial"/>
      <family val="2"/>
    </font>
    <font>
      <b/>
      <sz val="16"/>
      <color indexed="24"/>
      <name val="Arial"/>
      <family val="2"/>
    </font>
    <font>
      <sz val="10"/>
      <name val="Arial"/>
      <family val="2"/>
    </font>
    <font>
      <sz val="10"/>
      <color indexed="24"/>
      <name val="Verdana"/>
      <family val="2"/>
    </font>
    <font>
      <sz val="10"/>
      <name val="Verdana"/>
      <family val="2"/>
    </font>
    <font>
      <b/>
      <sz val="10"/>
      <color indexed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20"/>
      <name val="Times New Roman"/>
      <family val="1"/>
    </font>
    <font>
      <b/>
      <sz val="11"/>
      <name val="Arial"/>
      <family val="2"/>
    </font>
    <font>
      <b/>
      <sz val="18"/>
      <name val="Verdana"/>
      <family val="2"/>
    </font>
    <font>
      <b/>
      <sz val="18"/>
      <color indexed="24"/>
      <name val="Verdana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rgb="FFFFFF00"/>
      <name val="Arial"/>
      <family val="2"/>
    </font>
    <font>
      <b/>
      <sz val="12"/>
      <color theme="1"/>
      <name val="Arial"/>
      <family val="2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1F497D"/>
      <name val="Calibri"/>
      <family val="2"/>
    </font>
    <font>
      <u/>
      <sz val="10"/>
      <color theme="10"/>
      <name val="Arial"/>
      <family val="2"/>
    </font>
    <font>
      <sz val="11"/>
      <name val="Symbol"/>
      <family val="1"/>
      <charset val="2"/>
    </font>
    <font>
      <b/>
      <sz val="14"/>
      <color rgb="FF41475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8"/>
      <name val="Arial"/>
      <family val="2"/>
    </font>
    <font>
      <b/>
      <sz val="14"/>
      <color theme="1" tint="0.249977111117893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55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</cellStyleXfs>
  <cellXfs count="31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left"/>
    </xf>
    <xf numFmtId="6" fontId="9" fillId="0" borderId="0" xfId="0" applyNumberFormat="1" applyFont="1"/>
    <xf numFmtId="166" fontId="7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2" borderId="5" xfId="0" applyFont="1" applyFill="1" applyBorder="1"/>
    <xf numFmtId="10" fontId="7" fillId="2" borderId="6" xfId="7" applyNumberFormat="1" applyFont="1" applyFill="1" applyBorder="1"/>
    <xf numFmtId="0" fontId="7" fillId="2" borderId="6" xfId="1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left" indent="1"/>
    </xf>
    <xf numFmtId="166" fontId="7" fillId="0" borderId="8" xfId="3" applyNumberFormat="1" applyFont="1" applyBorder="1"/>
    <xf numFmtId="9" fontId="7" fillId="0" borderId="8" xfId="7" applyFont="1" applyBorder="1"/>
    <xf numFmtId="0" fontId="10" fillId="0" borderId="9" xfId="0" applyFont="1" applyBorder="1" applyAlignment="1">
      <alignment horizontal="left"/>
    </xf>
    <xf numFmtId="9" fontId="7" fillId="0" borderId="10" xfId="7" applyFont="1" applyBorder="1"/>
    <xf numFmtId="166" fontId="7" fillId="0" borderId="10" xfId="3" applyNumberFormat="1" applyFont="1" applyBorder="1"/>
    <xf numFmtId="166" fontId="7" fillId="0" borderId="10" xfId="7" applyNumberFormat="1" applyFont="1" applyBorder="1"/>
    <xf numFmtId="0" fontId="5" fillId="0" borderId="0" xfId="5"/>
    <xf numFmtId="0" fontId="5" fillId="5" borderId="0" xfId="5" applyFill="1"/>
    <xf numFmtId="0" fontId="5" fillId="0" borderId="0" xfId="5" applyAlignment="1">
      <alignment horizontal="right"/>
    </xf>
    <xf numFmtId="168" fontId="0" fillId="0" borderId="0" xfId="0" applyNumberFormat="1"/>
    <xf numFmtId="9" fontId="5" fillId="0" borderId="0" xfId="7" applyFont="1"/>
    <xf numFmtId="0" fontId="12" fillId="0" borderId="0" xfId="0" applyFont="1"/>
    <xf numFmtId="0" fontId="10" fillId="0" borderId="0" xfId="0" applyFont="1"/>
    <xf numFmtId="0" fontId="15" fillId="0" borderId="2" xfId="0" applyFont="1" applyBorder="1" applyAlignment="1">
      <alignment horizontal="center"/>
    </xf>
    <xf numFmtId="0" fontId="15" fillId="0" borderId="17" xfId="0" applyFont="1" applyBorder="1"/>
    <xf numFmtId="0" fontId="15" fillId="0" borderId="11" xfId="0" applyFont="1" applyBorder="1"/>
    <xf numFmtId="0" fontId="15" fillId="0" borderId="1" xfId="0" applyFont="1" applyBorder="1" applyAlignment="1">
      <alignment horizontal="center"/>
    </xf>
    <xf numFmtId="9" fontId="5" fillId="0" borderId="0" xfId="0" applyNumberFormat="1" applyFont="1"/>
    <xf numFmtId="169" fontId="0" fillId="0" borderId="0" xfId="0" applyNumberFormat="1"/>
    <xf numFmtId="0" fontId="15" fillId="0" borderId="0" xfId="0" applyFont="1"/>
    <xf numFmtId="0" fontId="17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9" fontId="0" fillId="0" borderId="0" xfId="0" applyNumberFormat="1"/>
    <xf numFmtId="9" fontId="5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0" fontId="5" fillId="3" borderId="0" xfId="0" applyFont="1" applyFill="1"/>
    <xf numFmtId="0" fontId="0" fillId="3" borderId="0" xfId="0" applyFill="1"/>
    <xf numFmtId="164" fontId="0" fillId="3" borderId="0" xfId="0" applyNumberFormat="1" applyFill="1"/>
    <xf numFmtId="6" fontId="2" fillId="0" borderId="0" xfId="0" applyNumberFormat="1" applyFont="1"/>
    <xf numFmtId="0" fontId="2" fillId="0" borderId="0" xfId="0" applyFont="1" applyAlignment="1">
      <alignment horizontal="left"/>
    </xf>
    <xf numFmtId="0" fontId="5" fillId="2" borderId="5" xfId="0" applyFont="1" applyFill="1" applyBorder="1"/>
    <xf numFmtId="10" fontId="5" fillId="2" borderId="6" xfId="7" applyNumberFormat="1" applyFont="1" applyFill="1" applyBorder="1"/>
    <xf numFmtId="0" fontId="5" fillId="2" borderId="6" xfId="1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left" indent="1"/>
    </xf>
    <xf numFmtId="166" fontId="5" fillId="0" borderId="8" xfId="3" applyNumberFormat="1" applyFont="1" applyBorder="1"/>
    <xf numFmtId="9" fontId="5" fillId="0" borderId="8" xfId="7" applyFont="1" applyBorder="1"/>
    <xf numFmtId="0" fontId="15" fillId="0" borderId="9" xfId="0" applyFont="1" applyBorder="1" applyAlignment="1">
      <alignment horizontal="left"/>
    </xf>
    <xf numFmtId="9" fontId="5" fillId="0" borderId="10" xfId="7" applyFont="1" applyBorder="1"/>
    <xf numFmtId="166" fontId="5" fillId="0" borderId="10" xfId="3" applyNumberFormat="1" applyFont="1" applyBorder="1"/>
    <xf numFmtId="166" fontId="5" fillId="0" borderId="10" xfId="7" applyNumberFormat="1" applyFont="1" applyBorder="1"/>
    <xf numFmtId="166" fontId="5" fillId="0" borderId="0" xfId="0" applyNumberFormat="1" applyFont="1"/>
    <xf numFmtId="164" fontId="5" fillId="3" borderId="0" xfId="0" applyNumberFormat="1" applyFont="1" applyFill="1"/>
    <xf numFmtId="168" fontId="5" fillId="0" borderId="0" xfId="0" applyNumberFormat="1" applyFont="1" applyAlignment="1">
      <alignment horizontal="center" vertical="center"/>
    </xf>
    <xf numFmtId="166" fontId="7" fillId="0" borderId="0" xfId="3" applyNumberFormat="1" applyFont="1"/>
    <xf numFmtId="0" fontId="9" fillId="0" borderId="0" xfId="0" applyFont="1"/>
    <xf numFmtId="0" fontId="7" fillId="0" borderId="9" xfId="0" applyFont="1" applyBorder="1" applyAlignment="1">
      <alignment horizontal="left" indent="1"/>
    </xf>
    <xf numFmtId="0" fontId="9" fillId="0" borderId="9" xfId="0" applyFont="1" applyBorder="1"/>
    <xf numFmtId="9" fontId="5" fillId="0" borderId="2" xfId="7" applyFont="1" applyBorder="1"/>
    <xf numFmtId="6" fontId="7" fillId="0" borderId="0" xfId="0" applyNumberFormat="1" applyFont="1"/>
    <xf numFmtId="6" fontId="5" fillId="0" borderId="0" xfId="0" applyNumberFormat="1" applyFont="1"/>
    <xf numFmtId="0" fontId="5" fillId="0" borderId="9" xfId="0" applyFont="1" applyBorder="1" applyAlignment="1">
      <alignment horizontal="left" indent="1"/>
    </xf>
    <xf numFmtId="0" fontId="2" fillId="0" borderId="9" xfId="0" applyFont="1" applyBorder="1"/>
    <xf numFmtId="0" fontId="7" fillId="0" borderId="5" xfId="0" applyFont="1" applyBorder="1"/>
    <xf numFmtId="10" fontId="7" fillId="0" borderId="6" xfId="7" applyNumberFormat="1" applyFont="1" applyBorder="1"/>
    <xf numFmtId="0" fontId="7" fillId="0" borderId="6" xfId="1" applyNumberFormat="1" applyFont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168" fontId="0" fillId="3" borderId="17" xfId="0" applyNumberFormat="1" applyFill="1" applyBorder="1" applyAlignment="1">
      <alignment horizontal="center"/>
    </xf>
    <xf numFmtId="168" fontId="0" fillId="3" borderId="16" xfId="0" applyNumberFormat="1" applyFill="1" applyBorder="1" applyAlignment="1">
      <alignment horizontal="center"/>
    </xf>
    <xf numFmtId="168" fontId="0" fillId="3" borderId="11" xfId="0" applyNumberFormat="1" applyFill="1" applyBorder="1" applyAlignment="1">
      <alignment horizontal="center"/>
    </xf>
    <xf numFmtId="168" fontId="0" fillId="3" borderId="12" xfId="0" applyNumberFormat="1" applyFill="1" applyBorder="1" applyAlignment="1">
      <alignment horizontal="center"/>
    </xf>
    <xf numFmtId="0" fontId="5" fillId="3" borderId="25" xfId="0" applyFont="1" applyFill="1" applyBorder="1"/>
    <xf numFmtId="0" fontId="0" fillId="3" borderId="26" xfId="0" applyFill="1" applyBorder="1"/>
    <xf numFmtId="0" fontId="0" fillId="3" borderId="27" xfId="0" applyFill="1" applyBorder="1"/>
    <xf numFmtId="0" fontId="22" fillId="0" borderId="0" xfId="5" applyFont="1"/>
    <xf numFmtId="0" fontId="19" fillId="0" borderId="0" xfId="0" applyFont="1"/>
    <xf numFmtId="0" fontId="19" fillId="0" borderId="0" xfId="0" applyFont="1" applyAlignment="1">
      <alignment vertical="center"/>
    </xf>
    <xf numFmtId="0" fontId="23" fillId="7" borderId="2" xfId="0" applyFont="1" applyFill="1" applyBorder="1" applyAlignment="1">
      <alignment vertical="center"/>
    </xf>
    <xf numFmtId="9" fontId="15" fillId="6" borderId="2" xfId="7" applyFont="1" applyFill="1" applyBorder="1"/>
    <xf numFmtId="9" fontId="19" fillId="0" borderId="0" xfId="7" applyFont="1"/>
    <xf numFmtId="0" fontId="24" fillId="6" borderId="2" xfId="5" applyFont="1" applyFill="1" applyBorder="1"/>
    <xf numFmtId="3" fontId="0" fillId="0" borderId="6" xfId="0" applyNumberFormat="1" applyBorder="1"/>
    <xf numFmtId="0" fontId="30" fillId="0" borderId="0" xfId="5" applyFont="1"/>
    <xf numFmtId="0" fontId="20" fillId="3" borderId="19" xfId="5" applyFont="1" applyFill="1" applyBorder="1" applyAlignment="1">
      <alignment horizontal="center" wrapText="1"/>
    </xf>
    <xf numFmtId="0" fontId="20" fillId="3" borderId="18" xfId="5" applyFont="1" applyFill="1" applyBorder="1" applyAlignment="1">
      <alignment horizontal="center" wrapText="1"/>
    </xf>
    <xf numFmtId="0" fontId="20" fillId="3" borderId="20" xfId="5" applyFont="1" applyFill="1" applyBorder="1" applyAlignment="1">
      <alignment horizontal="center" wrapText="1"/>
    </xf>
    <xf numFmtId="0" fontId="20" fillId="3" borderId="21" xfId="5" applyFont="1" applyFill="1" applyBorder="1" applyAlignment="1">
      <alignment horizontal="center" wrapText="1"/>
    </xf>
    <xf numFmtId="0" fontId="30" fillId="0" borderId="0" xfId="5" applyFont="1" applyAlignment="1">
      <alignment horizontal="right"/>
    </xf>
    <xf numFmtId="167" fontId="0" fillId="0" borderId="22" xfId="0" applyNumberFormat="1" applyBorder="1"/>
    <xf numFmtId="0" fontId="15" fillId="5" borderId="0" xfId="5" applyFont="1" applyFill="1" applyAlignment="1">
      <alignment vertical="center"/>
    </xf>
    <xf numFmtId="166" fontId="5" fillId="0" borderId="23" xfId="3" applyNumberFormat="1" applyFont="1" applyBorder="1"/>
    <xf numFmtId="9" fontId="5" fillId="0" borderId="5" xfId="7" applyFont="1" applyBorder="1"/>
    <xf numFmtId="0" fontId="5" fillId="0" borderId="6" xfId="0" applyFont="1" applyBorder="1" applyAlignment="1">
      <alignment horizontal="left" indent="1"/>
    </xf>
    <xf numFmtId="0" fontId="5" fillId="0" borderId="31" xfId="0" applyFont="1" applyBorder="1" applyAlignment="1">
      <alignment horizontal="left" indent="1"/>
    </xf>
    <xf numFmtId="166" fontId="7" fillId="0" borderId="23" xfId="3" applyNumberFormat="1" applyFont="1" applyBorder="1"/>
    <xf numFmtId="166" fontId="7" fillId="0" borderId="23" xfId="7" applyNumberFormat="1" applyFont="1" applyBorder="1"/>
    <xf numFmtId="9" fontId="7" fillId="0" borderId="23" xfId="7" applyFont="1" applyBorder="1"/>
    <xf numFmtId="0" fontId="7" fillId="0" borderId="31" xfId="0" applyFont="1" applyBorder="1" applyAlignment="1">
      <alignment horizontal="left" indent="1"/>
    </xf>
    <xf numFmtId="0" fontId="10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indent="1"/>
    </xf>
    <xf numFmtId="168" fontId="0" fillId="0" borderId="0" xfId="4" applyNumberFormat="1" applyFont="1" applyAlignment="1" applyProtection="1">
      <alignment horizontal="center" vertical="center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7" xfId="0" applyFont="1" applyBorder="1"/>
    <xf numFmtId="166" fontId="9" fillId="0" borderId="0" xfId="3" applyNumberFormat="1" applyFont="1"/>
    <xf numFmtId="0" fontId="1" fillId="0" borderId="0" xfId="0" applyFont="1"/>
    <xf numFmtId="0" fontId="31" fillId="0" borderId="0" xfId="0" applyFont="1"/>
    <xf numFmtId="0" fontId="5" fillId="0" borderId="2" xfId="0" applyFont="1" applyBorder="1"/>
    <xf numFmtId="0" fontId="2" fillId="0" borderId="2" xfId="0" applyFont="1" applyBorder="1"/>
    <xf numFmtId="0" fontId="35" fillId="0" borderId="0" xfId="9" applyFont="1" applyAlignment="1" applyProtection="1"/>
    <xf numFmtId="168" fontId="0" fillId="0" borderId="0" xfId="4" applyNumberFormat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5" fillId="0" borderId="2" xfId="0" applyFont="1" applyBorder="1"/>
    <xf numFmtId="1" fontId="7" fillId="0" borderId="0" xfId="0" applyNumberFormat="1" applyFont="1" applyProtection="1">
      <protection locked="0"/>
    </xf>
    <xf numFmtId="0" fontId="1" fillId="0" borderId="2" xfId="0" applyFont="1" applyBorder="1"/>
    <xf numFmtId="0" fontId="0" fillId="0" borderId="2" xfId="0" applyBorder="1"/>
    <xf numFmtId="167" fontId="0" fillId="5" borderId="2" xfId="0" applyNumberFormat="1" applyFill="1" applyBorder="1"/>
    <xf numFmtId="1" fontId="0" fillId="5" borderId="2" xfId="0" applyNumberFormat="1" applyFill="1" applyBorder="1"/>
    <xf numFmtId="0" fontId="0" fillId="5" borderId="2" xfId="0" applyFill="1" applyBorder="1"/>
    <xf numFmtId="0" fontId="1" fillId="0" borderId="2" xfId="5" applyFont="1" applyBorder="1" applyAlignment="1">
      <alignment horizontal="center" wrapText="1"/>
    </xf>
    <xf numFmtId="167" fontId="0" fillId="0" borderId="0" xfId="0" applyNumberFormat="1"/>
    <xf numFmtId="0" fontId="2" fillId="0" borderId="0" xfId="5" applyFont="1" applyAlignment="1">
      <alignment horizontal="right"/>
    </xf>
    <xf numFmtId="0" fontId="19" fillId="0" borderId="0" xfId="5" applyFont="1" applyAlignment="1">
      <alignment horizontal="right" vertical="center"/>
    </xf>
    <xf numFmtId="0" fontId="5" fillId="5" borderId="6" xfId="5" applyFill="1" applyBorder="1" applyAlignment="1">
      <alignment horizontal="center" vertical="center" wrapText="1"/>
    </xf>
    <xf numFmtId="9" fontId="5" fillId="5" borderId="6" xfId="5" applyNumberFormat="1" applyFill="1" applyBorder="1" applyAlignment="1">
      <alignment horizontal="center" vertical="center" wrapText="1"/>
    </xf>
    <xf numFmtId="0" fontId="5" fillId="0" borderId="13" xfId="5" applyBorder="1"/>
    <xf numFmtId="0" fontId="1" fillId="0" borderId="32" xfId="5" applyFont="1" applyBorder="1"/>
    <xf numFmtId="0" fontId="5" fillId="0" borderId="33" xfId="5" applyBorder="1"/>
    <xf numFmtId="0" fontId="1" fillId="0" borderId="31" xfId="5" applyFont="1" applyBorder="1"/>
    <xf numFmtId="0" fontId="0" fillId="0" borderId="34" xfId="0" applyBorder="1"/>
    <xf numFmtId="0" fontId="1" fillId="0" borderId="35" xfId="5" applyFont="1" applyBorder="1"/>
    <xf numFmtId="0" fontId="0" fillId="0" borderId="14" xfId="0" applyBorder="1"/>
    <xf numFmtId="0" fontId="0" fillId="0" borderId="36" xfId="0" applyBorder="1"/>
    <xf numFmtId="167" fontId="2" fillId="0" borderId="2" xfId="0" applyNumberFormat="1" applyFont="1" applyBorder="1" applyAlignment="1">
      <alignment horizontal="center"/>
    </xf>
    <xf numFmtId="1" fontId="0" fillId="0" borderId="1" xfId="0" applyNumberFormat="1" applyBorder="1"/>
    <xf numFmtId="1" fontId="0" fillId="0" borderId="3" xfId="0" applyNumberFormat="1" applyBorder="1"/>
    <xf numFmtId="1" fontId="0" fillId="0" borderId="37" xfId="0" applyNumberFormat="1" applyBorder="1"/>
    <xf numFmtId="1" fontId="5" fillId="0" borderId="1" xfId="0" applyNumberFormat="1" applyFont="1" applyBorder="1"/>
    <xf numFmtId="1" fontId="5" fillId="0" borderId="3" xfId="0" applyNumberFormat="1" applyFont="1" applyBorder="1"/>
    <xf numFmtId="1" fontId="5" fillId="0" borderId="37" xfId="0" applyNumberFormat="1" applyFont="1" applyBorder="1"/>
    <xf numFmtId="166" fontId="7" fillId="0" borderId="39" xfId="3" applyNumberFormat="1" applyFont="1" applyBorder="1"/>
    <xf numFmtId="166" fontId="9" fillId="0" borderId="38" xfId="3" applyNumberFormat="1" applyFont="1" applyBorder="1"/>
    <xf numFmtId="166" fontId="7" fillId="0" borderId="38" xfId="3" applyNumberFormat="1" applyFont="1" applyBorder="1"/>
    <xf numFmtId="166" fontId="5" fillId="0" borderId="38" xfId="3" applyNumberFormat="1" applyFont="1" applyBorder="1"/>
    <xf numFmtId="166" fontId="2" fillId="0" borderId="38" xfId="3" applyNumberFormat="1" applyFont="1" applyBorder="1"/>
    <xf numFmtId="168" fontId="2" fillId="0" borderId="0" xfId="0" applyNumberFormat="1" applyFont="1" applyAlignment="1">
      <alignment horizontal="center" vertical="center"/>
    </xf>
    <xf numFmtId="167" fontId="2" fillId="0" borderId="12" xfId="0" applyNumberFormat="1" applyFont="1" applyBorder="1" applyAlignment="1">
      <alignment horizontal="center"/>
    </xf>
    <xf numFmtId="44" fontId="0" fillId="0" borderId="0" xfId="0" applyNumberFormat="1"/>
    <xf numFmtId="0" fontId="16" fillId="0" borderId="0" xfId="0" applyFont="1"/>
    <xf numFmtId="168" fontId="0" fillId="0" borderId="0" xfId="4" applyNumberFormat="1" applyFont="1" applyAlignment="1">
      <alignment horizontal="center"/>
    </xf>
    <xf numFmtId="166" fontId="0" fillId="0" borderId="0" xfId="4" applyNumberFormat="1" applyFont="1"/>
    <xf numFmtId="0" fontId="5" fillId="0" borderId="6" xfId="5" applyBorder="1" applyAlignment="1">
      <alignment horizontal="center" vertical="center" wrapText="1"/>
    </xf>
    <xf numFmtId="0" fontId="1" fillId="0" borderId="32" xfId="0" applyFont="1" applyBorder="1"/>
    <xf numFmtId="0" fontId="0" fillId="0" borderId="13" xfId="0" applyBorder="1"/>
    <xf numFmtId="0" fontId="0" fillId="0" borderId="33" xfId="0" applyBorder="1"/>
    <xf numFmtId="0" fontId="1" fillId="0" borderId="31" xfId="0" applyFont="1" applyBorder="1"/>
    <xf numFmtId="0" fontId="1" fillId="0" borderId="35" xfId="0" applyFont="1" applyBorder="1"/>
    <xf numFmtId="0" fontId="0" fillId="0" borderId="0" xfId="0" applyAlignment="1">
      <alignment horizontal="center"/>
    </xf>
    <xf numFmtId="0" fontId="16" fillId="3" borderId="46" xfId="0" applyFont="1" applyFill="1" applyBorder="1"/>
    <xf numFmtId="168" fontId="0" fillId="3" borderId="1" xfId="0" applyNumberFormat="1" applyFill="1" applyBorder="1" applyAlignment="1">
      <alignment horizontal="center"/>
    </xf>
    <xf numFmtId="168" fontId="0" fillId="3" borderId="48" xfId="0" applyNumberForma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9" fontId="15" fillId="0" borderId="3" xfId="7" applyFont="1" applyBorder="1"/>
    <xf numFmtId="168" fontId="2" fillId="0" borderId="37" xfId="0" applyNumberFormat="1" applyFont="1" applyBorder="1" applyAlignment="1">
      <alignment horizontal="center"/>
    </xf>
    <xf numFmtId="168" fontId="2" fillId="0" borderId="49" xfId="0" applyNumberFormat="1" applyFont="1" applyBorder="1" applyAlignment="1">
      <alignment horizontal="center"/>
    </xf>
    <xf numFmtId="168" fontId="2" fillId="0" borderId="16" xfId="0" applyNumberFormat="1" applyFont="1" applyBorder="1" applyAlignment="1">
      <alignment horizontal="center"/>
    </xf>
    <xf numFmtId="168" fontId="2" fillId="0" borderId="12" xfId="0" applyNumberFormat="1" applyFont="1" applyBorder="1" applyAlignment="1">
      <alignment horizontal="center"/>
    </xf>
    <xf numFmtId="167" fontId="1" fillId="0" borderId="4" xfId="0" applyNumberFormat="1" applyFont="1" applyBorder="1"/>
    <xf numFmtId="167" fontId="1" fillId="0" borderId="6" xfId="0" applyNumberFormat="1" applyFont="1" applyBorder="1"/>
    <xf numFmtId="167" fontId="1" fillId="0" borderId="6" xfId="0" applyNumberFormat="1" applyFont="1" applyBorder="1" applyAlignment="1">
      <alignment vertical="center"/>
    </xf>
    <xf numFmtId="0" fontId="2" fillId="0" borderId="1" xfId="0" applyFont="1" applyBorder="1"/>
    <xf numFmtId="0" fontId="1" fillId="5" borderId="2" xfId="0" applyFont="1" applyFill="1" applyBorder="1" applyAlignment="1">
      <alignment horizontal="center"/>
    </xf>
    <xf numFmtId="168" fontId="0" fillId="5" borderId="2" xfId="0" applyNumberFormat="1" applyFill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67" fontId="0" fillId="0" borderId="2" xfId="0" applyNumberFormat="1" applyBorder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9" fontId="19" fillId="0" borderId="0" xfId="7" applyFont="1" applyAlignment="1">
      <alignment horizontal="center"/>
    </xf>
    <xf numFmtId="0" fontId="1" fillId="0" borderId="0" xfId="5" applyFont="1"/>
    <xf numFmtId="0" fontId="7" fillId="5" borderId="2" xfId="0" applyFont="1" applyFill="1" applyBorder="1" applyAlignment="1">
      <alignment horizontal="left" indent="1"/>
    </xf>
    <xf numFmtId="0" fontId="23" fillId="7" borderId="5" xfId="0" applyFont="1" applyFill="1" applyBorder="1" applyAlignment="1">
      <alignment vertical="center"/>
    </xf>
    <xf numFmtId="0" fontId="30" fillId="5" borderId="2" xfId="5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2" fontId="0" fillId="3" borderId="17" xfId="0" applyNumberFormat="1" applyFill="1" applyBorder="1" applyAlignment="1">
      <alignment horizontal="center"/>
    </xf>
    <xf numFmtId="2" fontId="0" fillId="3" borderId="16" xfId="0" applyNumberFormat="1" applyFill="1" applyBorder="1" applyAlignment="1">
      <alignment horizontal="center"/>
    </xf>
    <xf numFmtId="2" fontId="0" fillId="3" borderId="11" xfId="0" applyNumberFormat="1" applyFill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9" fontId="0" fillId="5" borderId="0" xfId="0" applyNumberForma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5" borderId="0" xfId="0" applyFill="1"/>
    <xf numFmtId="164" fontId="0" fillId="5" borderId="0" xfId="0" applyNumberFormat="1" applyFill="1"/>
    <xf numFmtId="170" fontId="0" fillId="5" borderId="0" xfId="0" applyNumberFormat="1" applyFill="1"/>
    <xf numFmtId="1" fontId="1" fillId="5" borderId="0" xfId="0" applyNumberFormat="1" applyFont="1" applyFill="1"/>
    <xf numFmtId="1" fontId="0" fillId="5" borderId="0" xfId="0" applyNumberFormat="1" applyFill="1"/>
    <xf numFmtId="168" fontId="0" fillId="5" borderId="0" xfId="0" applyNumberFormat="1" applyFill="1"/>
    <xf numFmtId="0" fontId="1" fillId="5" borderId="0" xfId="0" applyFont="1" applyFill="1"/>
    <xf numFmtId="166" fontId="7" fillId="5" borderId="39" xfId="3" applyNumberFormat="1" applyFont="1" applyFill="1" applyBorder="1"/>
    <xf numFmtId="0" fontId="0" fillId="0" borderId="0" xfId="0" applyProtection="1">
      <protection locked="0"/>
    </xf>
    <xf numFmtId="0" fontId="33" fillId="0" borderId="0" xfId="0" applyFont="1" applyAlignment="1">
      <alignment horizontal="left" indent="6"/>
    </xf>
    <xf numFmtId="0" fontId="34" fillId="0" borderId="0" xfId="0" applyFont="1"/>
    <xf numFmtId="0" fontId="25" fillId="0" borderId="0" xfId="0" applyFont="1"/>
    <xf numFmtId="0" fontId="0" fillId="0" borderId="0" xfId="0" applyAlignment="1">
      <alignment horizontal="right"/>
    </xf>
    <xf numFmtId="166" fontId="0" fillId="0" borderId="0" xfId="0" applyNumberFormat="1"/>
    <xf numFmtId="0" fontId="12" fillId="0" borderId="0" xfId="0" applyFont="1" applyAlignment="1">
      <alignment horizontal="right"/>
    </xf>
    <xf numFmtId="166" fontId="0" fillId="0" borderId="1" xfId="0" applyNumberFormat="1" applyBorder="1"/>
    <xf numFmtId="166" fontId="0" fillId="0" borderId="3" xfId="0" applyNumberFormat="1" applyBorder="1"/>
    <xf numFmtId="166" fontId="0" fillId="0" borderId="37" xfId="0" applyNumberFormat="1" applyBorder="1"/>
    <xf numFmtId="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70" fontId="0" fillId="0" borderId="0" xfId="0" applyNumberFormat="1"/>
    <xf numFmtId="1" fontId="1" fillId="0" borderId="0" xfId="0" applyNumberFormat="1" applyFont="1"/>
    <xf numFmtId="1" fontId="0" fillId="0" borderId="0" xfId="0" applyNumberFormat="1"/>
    <xf numFmtId="0" fontId="12" fillId="0" borderId="0" xfId="0" applyFont="1" applyAlignment="1">
      <alignment horizontal="right" indent="1"/>
    </xf>
    <xf numFmtId="164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168" fontId="0" fillId="3" borderId="0" xfId="0" applyNumberForma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168" fontId="5" fillId="0" borderId="22" xfId="4" applyNumberFormat="1" applyBorder="1"/>
    <xf numFmtId="168" fontId="5" fillId="0" borderId="0" xfId="4" applyNumberFormat="1"/>
    <xf numFmtId="167" fontId="5" fillId="0" borderId="2" xfId="4" applyNumberFormat="1" applyBorder="1"/>
    <xf numFmtId="167" fontId="5" fillId="0" borderId="22" xfId="4" applyNumberFormat="1" applyBorder="1"/>
    <xf numFmtId="0" fontId="38" fillId="0" borderId="41" xfId="5" applyFont="1" applyBorder="1" applyAlignment="1">
      <alignment horizontal="center"/>
    </xf>
    <xf numFmtId="0" fontId="38" fillId="0" borderId="42" xfId="5" applyFont="1" applyBorder="1" applyAlignment="1">
      <alignment horizontal="center"/>
    </xf>
    <xf numFmtId="0" fontId="38" fillId="0" borderId="43" xfId="5" applyFont="1" applyBorder="1" applyAlignment="1">
      <alignment horizontal="center"/>
    </xf>
    <xf numFmtId="0" fontId="26" fillId="0" borderId="0" xfId="5" applyFont="1"/>
    <xf numFmtId="0" fontId="27" fillId="0" borderId="0" xfId="5" applyFont="1"/>
    <xf numFmtId="0" fontId="11" fillId="0" borderId="0" xfId="5" applyFont="1"/>
    <xf numFmtId="0" fontId="25" fillId="0" borderId="0" xfId="5" applyFont="1"/>
    <xf numFmtId="0" fontId="28" fillId="0" borderId="2" xfId="5" applyFont="1" applyBorder="1"/>
    <xf numFmtId="0" fontId="2" fillId="0" borderId="0" xfId="6" applyFont="1"/>
    <xf numFmtId="0" fontId="5" fillId="0" borderId="0" xfId="6"/>
    <xf numFmtId="0" fontId="29" fillId="0" borderId="0" xfId="5" applyFont="1" applyAlignment="1">
      <alignment horizontal="right"/>
    </xf>
    <xf numFmtId="0" fontId="29" fillId="0" borderId="0" xfId="5" applyFont="1" applyAlignment="1">
      <alignment horizontal="left"/>
    </xf>
    <xf numFmtId="168" fontId="5" fillId="0" borderId="14" xfId="4" applyNumberFormat="1" applyBorder="1"/>
    <xf numFmtId="0" fontId="28" fillId="0" borderId="0" xfId="5" applyFont="1"/>
    <xf numFmtId="0" fontId="25" fillId="0" borderId="0" xfId="5" applyFont="1" applyAlignment="1">
      <alignment horizontal="right"/>
    </xf>
    <xf numFmtId="0" fontId="20" fillId="0" borderId="18" xfId="5" applyFont="1" applyBorder="1" applyAlignment="1">
      <alignment horizontal="center" wrapText="1"/>
    </xf>
    <xf numFmtId="0" fontId="20" fillId="0" borderId="19" xfId="5" applyFont="1" applyBorder="1" applyAlignment="1">
      <alignment horizontal="center" wrapText="1"/>
    </xf>
    <xf numFmtId="0" fontId="20" fillId="0" borderId="20" xfId="5" applyFont="1" applyBorder="1" applyAlignment="1">
      <alignment horizontal="center" wrapText="1"/>
    </xf>
    <xf numFmtId="0" fontId="20" fillId="0" borderId="21" xfId="5" applyFont="1" applyBorder="1" applyAlignment="1">
      <alignment horizontal="center" wrapText="1"/>
    </xf>
    <xf numFmtId="0" fontId="1" fillId="0" borderId="2" xfId="5" applyFont="1" applyBorder="1"/>
    <xf numFmtId="0" fontId="5" fillId="0" borderId="2" xfId="5" applyBorder="1"/>
    <xf numFmtId="0" fontId="5" fillId="0" borderId="2" xfId="5" applyBorder="1" applyAlignment="1">
      <alignment horizontal="right"/>
    </xf>
    <xf numFmtId="167" fontId="5" fillId="0" borderId="15" xfId="5" applyNumberFormat="1" applyBorder="1"/>
    <xf numFmtId="167" fontId="5" fillId="0" borderId="22" xfId="5" applyNumberFormat="1" applyBorder="1"/>
    <xf numFmtId="0" fontId="5" fillId="0" borderId="0" xfId="5" applyAlignment="1">
      <alignment horizontal="left"/>
    </xf>
    <xf numFmtId="0" fontId="0" fillId="4" borderId="2" xfId="0" applyFill="1" applyBorder="1" applyProtection="1">
      <protection locked="0"/>
    </xf>
    <xf numFmtId="9" fontId="0" fillId="4" borderId="2" xfId="7" applyFont="1" applyFill="1" applyBorder="1" applyProtection="1">
      <protection locked="0"/>
    </xf>
    <xf numFmtId="0" fontId="0" fillId="4" borderId="2" xfId="7" applyNumberFormat="1" applyFont="1" applyFill="1" applyBorder="1" applyProtection="1"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168" fontId="0" fillId="4" borderId="2" xfId="0" applyNumberForma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168" fontId="0" fillId="4" borderId="4" xfId="0" applyNumberFormat="1" applyFill="1" applyBorder="1" applyAlignment="1" applyProtection="1">
      <alignment horizontal="center"/>
      <protection locked="0"/>
    </xf>
    <xf numFmtId="0" fontId="20" fillId="4" borderId="18" xfId="5" applyFont="1" applyFill="1" applyBorder="1" applyAlignment="1" applyProtection="1">
      <alignment horizontal="center" vertical="center" wrapText="1"/>
      <protection locked="0"/>
    </xf>
    <xf numFmtId="0" fontId="20" fillId="4" borderId="19" xfId="5" applyFont="1" applyFill="1" applyBorder="1" applyAlignment="1" applyProtection="1">
      <alignment horizontal="center" vertical="center" wrapText="1"/>
      <protection locked="0"/>
    </xf>
    <xf numFmtId="0" fontId="20" fillId="4" borderId="20" xfId="5" applyFont="1" applyFill="1" applyBorder="1" applyAlignment="1" applyProtection="1">
      <alignment horizontal="center" vertical="center" wrapText="1"/>
      <protection locked="0"/>
    </xf>
    <xf numFmtId="0" fontId="20" fillId="4" borderId="21" xfId="5" applyFont="1" applyFill="1" applyBorder="1" applyAlignment="1" applyProtection="1">
      <alignment horizontal="center" vertical="center" wrapText="1"/>
      <protection locked="0"/>
    </xf>
    <xf numFmtId="168" fontId="5" fillId="4" borderId="2" xfId="4" applyNumberFormat="1" applyFill="1" applyBorder="1" applyProtection="1">
      <protection locked="0"/>
    </xf>
    <xf numFmtId="168" fontId="21" fillId="4" borderId="2" xfId="4" applyNumberFormat="1" applyFont="1" applyFill="1" applyBorder="1" applyProtection="1">
      <protection locked="0"/>
    </xf>
    <xf numFmtId="9" fontId="5" fillId="4" borderId="0" xfId="7" applyFont="1" applyFill="1" applyAlignment="1" applyProtection="1">
      <alignment horizontal="center"/>
      <protection locked="0"/>
    </xf>
    <xf numFmtId="167" fontId="5" fillId="4" borderId="2" xfId="5" applyNumberFormat="1" applyFill="1" applyBorder="1" applyProtection="1">
      <protection locked="0"/>
    </xf>
    <xf numFmtId="9" fontId="1" fillId="4" borderId="2" xfId="7" applyFill="1" applyBorder="1" applyAlignment="1" applyProtection="1">
      <alignment vertical="center"/>
      <protection locked="0"/>
    </xf>
    <xf numFmtId="9" fontId="1" fillId="4" borderId="2" xfId="7" applyFill="1" applyBorder="1" applyProtection="1">
      <protection locked="0"/>
    </xf>
    <xf numFmtId="167" fontId="1" fillId="4" borderId="2" xfId="7" applyNumberFormat="1" applyFill="1" applyBorder="1" applyProtection="1">
      <protection locked="0"/>
    </xf>
    <xf numFmtId="165" fontId="19" fillId="4" borderId="2" xfId="7" applyNumberFormat="1" applyFont="1" applyFill="1" applyBorder="1" applyAlignment="1" applyProtection="1">
      <alignment horizontal="center"/>
      <protection locked="0"/>
    </xf>
    <xf numFmtId="0" fontId="19" fillId="4" borderId="2" xfId="0" applyFont="1" applyFill="1" applyBorder="1" applyAlignment="1" applyProtection="1">
      <alignment horizontal="center"/>
      <protection locked="0"/>
    </xf>
    <xf numFmtId="3" fontId="0" fillId="4" borderId="2" xfId="1" applyNumberFormat="1" applyFont="1" applyFill="1" applyBorder="1" applyAlignment="1" applyProtection="1">
      <alignment horizontal="center" vertical="center"/>
      <protection locked="0"/>
    </xf>
    <xf numFmtId="3" fontId="0" fillId="0" borderId="4" xfId="0" applyNumberFormat="1" applyBorder="1"/>
    <xf numFmtId="3" fontId="0" fillId="0" borderId="13" xfId="0" applyNumberFormat="1" applyBorder="1"/>
    <xf numFmtId="3" fontId="30" fillId="0" borderId="0" xfId="5" applyNumberFormat="1" applyFont="1" applyAlignment="1">
      <alignment horizontal="center"/>
    </xf>
    <xf numFmtId="0" fontId="37" fillId="0" borderId="0" xfId="0" applyFont="1" applyAlignment="1">
      <alignment horizontal="left"/>
    </xf>
    <xf numFmtId="3" fontId="16" fillId="3" borderId="20" xfId="0" applyNumberFormat="1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0" fontId="34" fillId="0" borderId="0" xfId="0" applyFont="1"/>
    <xf numFmtId="0" fontId="25" fillId="0" borderId="0" xfId="0" applyFont="1"/>
    <xf numFmtId="0" fontId="0" fillId="0" borderId="0" xfId="0"/>
    <xf numFmtId="0" fontId="29" fillId="0" borderId="0" xfId="5" applyFont="1" applyAlignment="1">
      <alignment horizontal="left" wrapText="1"/>
    </xf>
    <xf numFmtId="0" fontId="12" fillId="3" borderId="28" xfId="0" applyFont="1" applyFill="1" applyBorder="1" applyAlignment="1">
      <alignment horizontal="center"/>
    </xf>
    <xf numFmtId="0" fontId="12" fillId="3" borderId="29" xfId="0" applyFont="1" applyFill="1" applyBorder="1" applyAlignment="1">
      <alignment horizontal="center"/>
    </xf>
    <xf numFmtId="0" fontId="16" fillId="3" borderId="18" xfId="0" applyFont="1" applyFill="1" applyBorder="1" applyAlignment="1">
      <alignment horizontal="right"/>
    </xf>
    <xf numFmtId="0" fontId="0" fillId="0" borderId="20" xfId="0" applyBorder="1" applyAlignment="1">
      <alignment horizontal="right"/>
    </xf>
    <xf numFmtId="0" fontId="16" fillId="3" borderId="20" xfId="0" applyFont="1" applyFill="1" applyBorder="1"/>
    <xf numFmtId="0" fontId="0" fillId="0" borderId="21" xfId="0" applyBorder="1"/>
    <xf numFmtId="0" fontId="15" fillId="0" borderId="24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2" fillId="3" borderId="40" xfId="0" applyFont="1" applyFill="1" applyBorder="1" applyAlignment="1">
      <alignment horizontal="center"/>
    </xf>
    <xf numFmtId="0" fontId="12" fillId="3" borderId="47" xfId="0" applyFont="1" applyFill="1" applyBorder="1" applyAlignment="1">
      <alignment horizontal="center"/>
    </xf>
    <xf numFmtId="0" fontId="12" fillId="3" borderId="35" xfId="0" applyFont="1" applyFill="1" applyBorder="1" applyAlignment="1">
      <alignment horizontal="center"/>
    </xf>
    <xf numFmtId="0" fontId="15" fillId="0" borderId="3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6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5" applyFont="1"/>
  </cellXfs>
  <cellStyles count="10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Hyperlink" xfId="9" builtinId="8"/>
    <cellStyle name="Normal" xfId="0" builtinId="0"/>
    <cellStyle name="Normal 2" xfId="5" xr:uid="{00000000-0005-0000-0000-000006000000}"/>
    <cellStyle name="Normal_$ 981105 BML" xfId="6" xr:uid="{00000000-0005-0000-0000-000007000000}"/>
    <cellStyle name="Percent" xfId="7" builtinId="5"/>
    <cellStyle name="Percent 2" xfId="8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D414A"/>
      <rgbColor rgb="00D3592A"/>
      <rgbColor rgb="00838488"/>
      <rgbColor rgb="009A928C"/>
      <rgbColor rgb="00C7C1BD"/>
      <rgbColor rgb="0090B3E4"/>
      <rgbColor rgb="00A0D21C"/>
      <rgbColor rgb="00B365CC"/>
      <rgbColor rgb="003D414A"/>
      <rgbColor rgb="00D3592A"/>
      <rgbColor rgb="00838488"/>
      <rgbColor rgb="009A928C"/>
      <rgbColor rgb="00C7C1BD"/>
      <rgbColor rgb="0072B3E4"/>
      <rgbColor rgb="00A0D21C"/>
      <rgbColor rgb="00B365C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NZ"/>
              <a:t>Levelised heat cost per GJ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46CE-4699-9E65-3B0081263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6CE-4699-9E65-3B0081263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6CE-4699-9E65-3B008126377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6CE-4699-9E65-3B008126377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46CE-4699-9E65-3B0081263775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46CE-4699-9E65-3B008126377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46CE-4699-9E65-3B008126377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Outputs!$C$8:$C$14</c:f>
              <c:strCache>
                <c:ptCount val="7"/>
                <c:pt idx="0">
                  <c:v>Wood chip (dry)</c:v>
                </c:pt>
                <c:pt idx="1">
                  <c:v>Wood chip (wet)</c:v>
                </c:pt>
                <c:pt idx="2">
                  <c:v>Diesel, LFO</c:v>
                </c:pt>
                <c:pt idx="3">
                  <c:v> LPG</c:v>
                </c:pt>
                <c:pt idx="4">
                  <c:v>Electricity (direct use)</c:v>
                </c:pt>
                <c:pt idx="5">
                  <c:v>Electricity (heat pump)</c:v>
                </c:pt>
                <c:pt idx="6">
                  <c:v>Coal</c:v>
                </c:pt>
              </c:strCache>
            </c:strRef>
          </c:cat>
          <c:val>
            <c:numRef>
              <c:f>Outputs!$F$8:$F$14</c:f>
              <c:numCache>
                <c:formatCode>"$"#,##0.00</c:formatCode>
                <c:ptCount val="7"/>
                <c:pt idx="0">
                  <c:v>19.719873012970265</c:v>
                </c:pt>
                <c:pt idx="1">
                  <c:v>15.930096719247375</c:v>
                </c:pt>
                <c:pt idx="2">
                  <c:v>49.632869562954255</c:v>
                </c:pt>
                <c:pt idx="3">
                  <c:v>36.538463941641965</c:v>
                </c:pt>
                <c:pt idx="4">
                  <c:v>30.58035110170265</c:v>
                </c:pt>
                <c:pt idx="5">
                  <c:v>7.6707369345418366</c:v>
                </c:pt>
                <c:pt idx="6">
                  <c:v>32.516530163127641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CE-4699-9E65-3B00812637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5318400"/>
        <c:axId val="93262208"/>
      </c:barChart>
      <c:catAx>
        <c:axId val="7531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262208"/>
        <c:crosses val="autoZero"/>
        <c:auto val="1"/>
        <c:lblAlgn val="ctr"/>
        <c:lblOffset val="100"/>
        <c:noMultiLvlLbl val="0"/>
      </c:catAx>
      <c:valAx>
        <c:axId val="93262208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3184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1496062992126073" footer="0.3149606299212607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1</xdr:row>
      <xdr:rowOff>219075</xdr:rowOff>
    </xdr:from>
    <xdr:to>
      <xdr:col>15</xdr:col>
      <xdr:colOff>571500</xdr:colOff>
      <xdr:row>18</xdr:row>
      <xdr:rowOff>19050</xdr:rowOff>
    </xdr:to>
    <xdr:graphicFrame macro="">
      <xdr:nvGraphicFramePr>
        <xdr:cNvPr id="142407" name="Chart 1">
          <a:extLst>
            <a:ext uri="{FF2B5EF4-FFF2-40B4-BE49-F238E27FC236}">
              <a16:creationId xmlns:a16="http://schemas.microsoft.com/office/drawing/2014/main" id="{00000000-0008-0000-0500-0000472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ioenergy.org.nz/resource/tg14-Life-cycle-analysis-heat-pla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B2:U28"/>
  <sheetViews>
    <sheetView tabSelected="1" workbookViewId="0">
      <selection activeCell="U2" sqref="U2"/>
    </sheetView>
  </sheetViews>
  <sheetFormatPr defaultRowHeight="12.75" x14ac:dyDescent="0.2"/>
  <cols>
    <col min="1" max="1" width="9.140625" customWidth="1"/>
    <col min="8" max="8" width="4.7109375" customWidth="1"/>
  </cols>
  <sheetData>
    <row r="2" spans="2:21" ht="21" x14ac:dyDescent="0.35">
      <c r="B2" s="91" t="s">
        <v>77</v>
      </c>
      <c r="U2" s="213"/>
    </row>
    <row r="3" spans="2:21" ht="21" x14ac:dyDescent="0.35">
      <c r="B3" s="91" t="s">
        <v>78</v>
      </c>
      <c r="U3" s="213"/>
    </row>
    <row r="4" spans="2:21" ht="21" x14ac:dyDescent="0.35">
      <c r="B4" s="91" t="s">
        <v>98</v>
      </c>
      <c r="U4" s="213"/>
    </row>
    <row r="5" spans="2:21" ht="21" x14ac:dyDescent="0.35">
      <c r="B5" s="91"/>
      <c r="U5" s="213"/>
    </row>
    <row r="6" spans="2:21" ht="19.5" customHeight="1" x14ac:dyDescent="0.2">
      <c r="U6" s="213"/>
    </row>
    <row r="7" spans="2:21" ht="18.75" x14ac:dyDescent="0.3">
      <c r="B7" s="291" t="s">
        <v>99</v>
      </c>
      <c r="C7" s="292"/>
      <c r="D7" s="292"/>
      <c r="E7" s="292"/>
      <c r="F7" s="292"/>
      <c r="G7" s="292"/>
      <c r="H7" s="292"/>
      <c r="I7" s="292"/>
      <c r="J7" s="292"/>
      <c r="K7" s="292"/>
      <c r="L7" s="293"/>
      <c r="M7" s="293"/>
      <c r="N7" s="293"/>
      <c r="O7" s="293"/>
      <c r="P7" s="293"/>
      <c r="Q7" s="293"/>
      <c r="R7" s="293"/>
      <c r="S7" s="293"/>
      <c r="T7" s="293"/>
      <c r="U7" s="213"/>
    </row>
    <row r="8" spans="2:21" ht="16.5" customHeight="1" x14ac:dyDescent="0.2">
      <c r="U8" s="213"/>
    </row>
    <row r="9" spans="2:21" ht="18.75" x14ac:dyDescent="0.3">
      <c r="B9" s="291" t="s">
        <v>100</v>
      </c>
      <c r="C9" s="292"/>
      <c r="D9" s="292"/>
      <c r="E9" s="292"/>
      <c r="F9" s="292"/>
      <c r="G9" s="292"/>
      <c r="H9" s="292"/>
      <c r="I9" s="292"/>
      <c r="J9" s="292"/>
      <c r="K9" s="292"/>
      <c r="L9" s="293"/>
      <c r="M9" s="293"/>
      <c r="N9" s="293"/>
      <c r="O9" s="293"/>
      <c r="P9" s="293"/>
      <c r="Q9" s="293"/>
      <c r="R9" s="293"/>
      <c r="U9" s="213"/>
    </row>
    <row r="10" spans="2:21" ht="15" x14ac:dyDescent="0.25">
      <c r="B10" s="214"/>
      <c r="U10" s="213"/>
    </row>
    <row r="11" spans="2:21" ht="18.75" x14ac:dyDescent="0.3">
      <c r="B11" s="215" t="s">
        <v>101</v>
      </c>
      <c r="U11" s="213"/>
    </row>
    <row r="12" spans="2:21" ht="18.75" x14ac:dyDescent="0.3">
      <c r="B12" s="215"/>
      <c r="U12" s="213"/>
    </row>
    <row r="13" spans="2:21" ht="18.75" x14ac:dyDescent="0.3">
      <c r="B13" s="215" t="s">
        <v>134</v>
      </c>
      <c r="U13" s="213"/>
    </row>
    <row r="14" spans="2:21" ht="18.75" x14ac:dyDescent="0.3">
      <c r="B14" s="215"/>
      <c r="U14" s="213"/>
    </row>
    <row r="15" spans="2:21" ht="18.75" x14ac:dyDescent="0.3">
      <c r="B15" s="215" t="s">
        <v>102</v>
      </c>
      <c r="C15" s="216"/>
      <c r="D15" s="216"/>
      <c r="E15" s="216"/>
      <c r="F15" s="216"/>
      <c r="G15" s="216"/>
      <c r="H15" s="216"/>
      <c r="I15" s="118" t="s">
        <v>96</v>
      </c>
      <c r="J15" s="216"/>
      <c r="K15" s="216"/>
      <c r="U15" s="213"/>
    </row>
    <row r="16" spans="2:21" ht="18" customHeight="1" x14ac:dyDescent="0.2">
      <c r="B16" s="217"/>
      <c r="U16" s="213"/>
    </row>
    <row r="17" spans="2:21" ht="18.75" x14ac:dyDescent="0.3">
      <c r="B17" s="288" t="s">
        <v>168</v>
      </c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U17" s="213"/>
    </row>
    <row r="18" spans="2:21" ht="18.75" x14ac:dyDescent="0.3"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U18" s="213"/>
    </row>
    <row r="19" spans="2:21" x14ac:dyDescent="0.2">
      <c r="U19" s="213"/>
    </row>
    <row r="20" spans="2:21" x14ac:dyDescent="0.2">
      <c r="U20" s="213"/>
    </row>
    <row r="23" spans="2:21" x14ac:dyDescent="0.2">
      <c r="C23" s="114"/>
    </row>
    <row r="25" spans="2:21" x14ac:dyDescent="0.2">
      <c r="C25" s="114"/>
    </row>
    <row r="28" spans="2:21" ht="15" x14ac:dyDescent="0.25">
      <c r="C28" s="115"/>
    </row>
  </sheetData>
  <sheetProtection password="C9E6" sheet="1" objects="1" scenarios="1" selectLockedCells="1"/>
  <mergeCells count="3">
    <mergeCell ref="C18:Q18"/>
    <mergeCell ref="B9:R9"/>
    <mergeCell ref="B7:T7"/>
  </mergeCells>
  <hyperlinks>
    <hyperlink ref="I15" r:id="rId1" xr:uid="{00000000-0004-0000-0000-000000000000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L79"/>
  <sheetViews>
    <sheetView topLeftCell="A4" workbookViewId="0">
      <selection activeCell="D8" sqref="D8"/>
    </sheetView>
  </sheetViews>
  <sheetFormatPr defaultRowHeight="12.75" x14ac:dyDescent="0.2"/>
  <cols>
    <col min="2" max="2" width="78.85546875" customWidth="1"/>
    <col min="4" max="10" width="13.7109375" customWidth="1"/>
  </cols>
  <sheetData>
    <row r="2" spans="1:10" ht="21" customHeight="1" thickBot="1" x14ac:dyDescent="0.4">
      <c r="B2" s="91" t="s">
        <v>77</v>
      </c>
      <c r="C2" s="23"/>
      <c r="D2" s="23"/>
      <c r="E2" s="23"/>
      <c r="F2" s="23"/>
      <c r="G2" s="23"/>
      <c r="H2" s="23"/>
      <c r="I2" s="23"/>
      <c r="J2" s="23"/>
    </row>
    <row r="3" spans="1:10" ht="21" customHeight="1" thickBot="1" x14ac:dyDescent="0.4">
      <c r="B3" s="91" t="s">
        <v>78</v>
      </c>
      <c r="C3" s="239" t="s">
        <v>133</v>
      </c>
      <c r="D3" s="240">
        <v>1</v>
      </c>
      <c r="E3" s="240">
        <v>2</v>
      </c>
      <c r="F3" s="240">
        <v>3</v>
      </c>
      <c r="G3" s="240">
        <v>4</v>
      </c>
      <c r="H3" s="240">
        <v>5</v>
      </c>
      <c r="I3" s="240">
        <v>6</v>
      </c>
      <c r="J3" s="241">
        <v>7</v>
      </c>
    </row>
    <row r="4" spans="1:10" ht="21" customHeight="1" thickBot="1" x14ac:dyDescent="0.4">
      <c r="B4" s="91" t="s">
        <v>116</v>
      </c>
      <c r="C4" s="23"/>
      <c r="D4" s="23"/>
      <c r="E4" s="23"/>
      <c r="F4" s="23"/>
      <c r="G4" s="23"/>
      <c r="H4" s="23"/>
      <c r="I4" s="23"/>
      <c r="J4" s="23"/>
    </row>
    <row r="5" spans="1:10" ht="67.5" customHeight="1" thickBot="1" x14ac:dyDescent="0.25">
      <c r="C5" s="23"/>
      <c r="D5" s="271" t="s">
        <v>129</v>
      </c>
      <c r="E5" s="272" t="s">
        <v>130</v>
      </c>
      <c r="F5" s="273" t="s">
        <v>131</v>
      </c>
      <c r="G5" s="272" t="s">
        <v>132</v>
      </c>
      <c r="H5" s="272" t="s">
        <v>52</v>
      </c>
      <c r="I5" s="274" t="s">
        <v>79</v>
      </c>
      <c r="J5" s="274" t="s">
        <v>9</v>
      </c>
    </row>
    <row r="6" spans="1:10" ht="26.25" x14ac:dyDescent="0.4">
      <c r="A6" s="242"/>
      <c r="B6" s="243"/>
      <c r="C6" s="244"/>
      <c r="D6" s="23"/>
      <c r="E6" s="23"/>
      <c r="F6" s="23"/>
    </row>
    <row r="7" spans="1:10" ht="15.75" customHeight="1" x14ac:dyDescent="0.25">
      <c r="B7" s="294" t="s">
        <v>10</v>
      </c>
      <c r="C7" s="293"/>
      <c r="D7" s="293"/>
      <c r="E7" s="293"/>
      <c r="F7" s="23"/>
    </row>
    <row r="8" spans="1:10" ht="15.75" x14ac:dyDescent="0.25">
      <c r="A8" s="245"/>
      <c r="B8" s="246" t="s">
        <v>11</v>
      </c>
      <c r="C8" s="247"/>
      <c r="D8" s="275">
        <v>5000000</v>
      </c>
      <c r="E8" s="275">
        <v>5000000</v>
      </c>
      <c r="F8" s="275">
        <v>900000</v>
      </c>
      <c r="G8" s="275">
        <v>750000</v>
      </c>
      <c r="H8" s="275">
        <v>500000</v>
      </c>
      <c r="I8" s="275">
        <v>400000</v>
      </c>
      <c r="J8" s="275">
        <v>4500000</v>
      </c>
    </row>
    <row r="9" spans="1:10" ht="15.75" x14ac:dyDescent="0.25">
      <c r="A9" s="245"/>
      <c r="B9" s="246" t="s">
        <v>12</v>
      </c>
      <c r="C9" s="247"/>
      <c r="D9" s="275"/>
      <c r="E9" s="275"/>
      <c r="F9" s="275"/>
      <c r="G9" s="275"/>
      <c r="H9" s="275"/>
      <c r="I9" s="275"/>
      <c r="J9" s="275"/>
    </row>
    <row r="10" spans="1:10" ht="15.75" x14ac:dyDescent="0.25">
      <c r="A10" s="245"/>
      <c r="B10" s="246" t="s">
        <v>13</v>
      </c>
      <c r="C10" s="248"/>
      <c r="D10" s="275"/>
      <c r="E10" s="275"/>
      <c r="F10" s="275"/>
      <c r="G10" s="275"/>
      <c r="H10" s="275"/>
      <c r="I10" s="275"/>
      <c r="J10" s="275"/>
    </row>
    <row r="11" spans="1:10" ht="15.75" x14ac:dyDescent="0.25">
      <c r="A11" s="245"/>
      <c r="B11" s="246" t="s">
        <v>14</v>
      </c>
      <c r="C11" s="248"/>
      <c r="D11" s="275"/>
      <c r="E11" s="275"/>
      <c r="F11" s="275"/>
      <c r="G11" s="275"/>
      <c r="H11" s="275"/>
      <c r="I11" s="275"/>
      <c r="J11" s="275"/>
    </row>
    <row r="12" spans="1:10" ht="15.75" x14ac:dyDescent="0.25">
      <c r="A12" s="245"/>
      <c r="B12" s="246" t="s">
        <v>76</v>
      </c>
      <c r="C12" s="248"/>
      <c r="D12" s="275"/>
      <c r="E12" s="275"/>
      <c r="F12" s="275"/>
      <c r="G12" s="275"/>
      <c r="H12" s="275"/>
      <c r="I12" s="275"/>
      <c r="J12" s="275"/>
    </row>
    <row r="13" spans="1:10" ht="16.5" thickBot="1" x14ac:dyDescent="0.3">
      <c r="A13" s="245"/>
      <c r="B13" s="249" t="s">
        <v>15</v>
      </c>
      <c r="C13" s="248"/>
      <c r="D13" s="235">
        <f>SUM(D8:D12)</f>
        <v>5000000</v>
      </c>
      <c r="E13" s="235">
        <f t="shared" ref="E13:J13" si="0">SUM(E8:E12)</f>
        <v>5000000</v>
      </c>
      <c r="F13" s="235">
        <f t="shared" si="0"/>
        <v>900000</v>
      </c>
      <c r="G13" s="235">
        <f t="shared" si="0"/>
        <v>750000</v>
      </c>
      <c r="H13" s="235">
        <f t="shared" si="0"/>
        <v>500000</v>
      </c>
      <c r="I13" s="235">
        <f t="shared" si="0"/>
        <v>400000</v>
      </c>
      <c r="J13" s="235">
        <f t="shared" si="0"/>
        <v>4500000</v>
      </c>
    </row>
    <row r="14" spans="1:10" ht="13.5" thickTop="1" x14ac:dyDescent="0.2">
      <c r="A14" s="245"/>
      <c r="B14" s="245"/>
      <c r="C14" s="248"/>
      <c r="D14" s="236"/>
      <c r="E14" s="236"/>
      <c r="F14" s="236"/>
      <c r="G14" s="236"/>
      <c r="H14" s="236"/>
      <c r="I14" s="236"/>
      <c r="J14" s="236"/>
    </row>
    <row r="15" spans="1:10" ht="15.75" x14ac:dyDescent="0.25">
      <c r="B15" s="250" t="s">
        <v>16</v>
      </c>
      <c r="C15" s="23"/>
      <c r="D15" s="251"/>
      <c r="E15" s="251"/>
      <c r="F15" s="251"/>
      <c r="G15" s="251"/>
      <c r="H15" s="251"/>
      <c r="I15" s="251"/>
      <c r="J15" s="251"/>
    </row>
    <row r="16" spans="1:10" ht="15.75" x14ac:dyDescent="0.25">
      <c r="A16" s="252"/>
      <c r="B16" s="246" t="s">
        <v>47</v>
      </c>
      <c r="C16" s="23"/>
      <c r="D16" s="275"/>
      <c r="E16" s="275"/>
      <c r="F16" s="275"/>
      <c r="G16" s="275"/>
      <c r="H16" s="275"/>
      <c r="I16" s="275"/>
      <c r="J16" s="275"/>
    </row>
    <row r="17" spans="1:10" ht="15.75" x14ac:dyDescent="0.25">
      <c r="A17" s="245"/>
      <c r="B17" s="246" t="s">
        <v>17</v>
      </c>
      <c r="C17" s="23"/>
      <c r="D17" s="275"/>
      <c r="E17" s="275"/>
      <c r="F17" s="275"/>
      <c r="G17" s="275"/>
      <c r="H17" s="275"/>
      <c r="I17" s="275"/>
      <c r="J17" s="275"/>
    </row>
    <row r="18" spans="1:10" ht="15.75" x14ac:dyDescent="0.25">
      <c r="A18" s="245"/>
      <c r="B18" s="246" t="s">
        <v>18</v>
      </c>
      <c r="C18" s="23"/>
      <c r="D18" s="275"/>
      <c r="E18" s="275"/>
      <c r="F18" s="275"/>
      <c r="G18" s="275"/>
      <c r="H18" s="275"/>
      <c r="I18" s="275"/>
      <c r="J18" s="275"/>
    </row>
    <row r="19" spans="1:10" ht="15.75" x14ac:dyDescent="0.25">
      <c r="A19" s="245"/>
      <c r="B19" s="246" t="s">
        <v>19</v>
      </c>
      <c r="C19" s="23"/>
      <c r="D19" s="275"/>
      <c r="E19" s="275"/>
      <c r="F19" s="275"/>
      <c r="G19" s="275"/>
      <c r="H19" s="275"/>
      <c r="I19" s="275"/>
      <c r="J19" s="275"/>
    </row>
    <row r="20" spans="1:10" ht="15.75" x14ac:dyDescent="0.25">
      <c r="A20" s="245"/>
      <c r="B20" s="246" t="s">
        <v>124</v>
      </c>
      <c r="C20" s="23"/>
      <c r="D20" s="275"/>
      <c r="E20" s="275"/>
      <c r="F20" s="275"/>
      <c r="G20" s="275"/>
      <c r="H20" s="275"/>
      <c r="I20" s="275"/>
      <c r="J20" s="276"/>
    </row>
    <row r="21" spans="1:10" ht="15.75" x14ac:dyDescent="0.25">
      <c r="A21" s="245"/>
      <c r="B21" s="246" t="s">
        <v>20</v>
      </c>
      <c r="C21" s="23"/>
      <c r="D21" s="275"/>
      <c r="E21" s="275"/>
      <c r="F21" s="275"/>
      <c r="G21" s="275"/>
      <c r="H21" s="275"/>
      <c r="I21" s="275"/>
      <c r="J21" s="275"/>
    </row>
    <row r="22" spans="1:10" ht="15.75" x14ac:dyDescent="0.25">
      <c r="A22" s="245"/>
      <c r="B22" s="246" t="s">
        <v>21</v>
      </c>
      <c r="C22" s="23"/>
      <c r="D22" s="275"/>
      <c r="E22" s="275"/>
      <c r="F22" s="275"/>
      <c r="G22" s="275"/>
      <c r="H22" s="275"/>
      <c r="I22" s="275"/>
      <c r="J22" s="275"/>
    </row>
    <row r="23" spans="1:10" ht="15.75" x14ac:dyDescent="0.25">
      <c r="A23" s="245"/>
      <c r="B23" s="246" t="s">
        <v>125</v>
      </c>
      <c r="C23" s="23"/>
      <c r="D23" s="275"/>
      <c r="E23" s="275"/>
      <c r="F23" s="275"/>
      <c r="G23" s="275"/>
      <c r="H23" s="275"/>
      <c r="I23" s="275"/>
      <c r="J23" s="275"/>
    </row>
    <row r="24" spans="1:10" ht="15.75" x14ac:dyDescent="0.25">
      <c r="A24" s="245"/>
      <c r="B24" s="246" t="s">
        <v>22</v>
      </c>
      <c r="C24" s="23"/>
      <c r="D24" s="275"/>
      <c r="E24" s="275"/>
      <c r="F24" s="275"/>
      <c r="G24" s="275"/>
      <c r="H24" s="275"/>
      <c r="I24" s="275"/>
      <c r="J24" s="275"/>
    </row>
    <row r="25" spans="1:10" ht="15.75" x14ac:dyDescent="0.25">
      <c r="A25" s="245"/>
      <c r="B25" s="246" t="s">
        <v>23</v>
      </c>
      <c r="C25" s="23"/>
      <c r="D25" s="275"/>
      <c r="E25" s="275"/>
      <c r="F25" s="275"/>
      <c r="G25" s="275"/>
      <c r="H25" s="275"/>
      <c r="I25" s="275"/>
      <c r="J25" s="275"/>
    </row>
    <row r="26" spans="1:10" ht="15.75" x14ac:dyDescent="0.25">
      <c r="A26" s="245"/>
      <c r="B26" s="246" t="s">
        <v>24</v>
      </c>
      <c r="C26" s="23"/>
      <c r="D26" s="275"/>
      <c r="E26" s="275"/>
      <c r="F26" s="275"/>
      <c r="G26" s="275"/>
      <c r="H26" s="275"/>
      <c r="I26" s="275"/>
      <c r="J26" s="275"/>
    </row>
    <row r="27" spans="1:10" ht="16.5" thickBot="1" x14ac:dyDescent="0.3">
      <c r="A27" s="245"/>
      <c r="B27" s="249" t="s">
        <v>15</v>
      </c>
      <c r="C27" s="23"/>
      <c r="D27" s="235">
        <f>SUM(D16:D26)</f>
        <v>0</v>
      </c>
      <c r="E27" s="235">
        <f t="shared" ref="E27:J27" si="1">SUM(E16:E26)</f>
        <v>0</v>
      </c>
      <c r="F27" s="235">
        <f t="shared" si="1"/>
        <v>0</v>
      </c>
      <c r="G27" s="235">
        <f t="shared" si="1"/>
        <v>0</v>
      </c>
      <c r="H27" s="235">
        <f t="shared" si="1"/>
        <v>0</v>
      </c>
      <c r="I27" s="235">
        <f t="shared" si="1"/>
        <v>0</v>
      </c>
      <c r="J27" s="235">
        <f t="shared" si="1"/>
        <v>0</v>
      </c>
    </row>
    <row r="28" spans="1:10" ht="13.5" thickTop="1" x14ac:dyDescent="0.2">
      <c r="A28" s="245"/>
      <c r="B28" s="245"/>
      <c r="C28" s="23"/>
      <c r="D28" s="236"/>
      <c r="E28" s="236"/>
      <c r="F28" s="236"/>
      <c r="G28" s="236"/>
      <c r="H28" s="236"/>
      <c r="I28" s="236"/>
      <c r="J28" s="236"/>
    </row>
    <row r="29" spans="1:10" ht="15.75" x14ac:dyDescent="0.25">
      <c r="B29" s="250" t="s">
        <v>25</v>
      </c>
      <c r="C29" s="23"/>
      <c r="D29" s="251"/>
      <c r="E29" s="251"/>
      <c r="F29" s="251"/>
      <c r="G29" s="251"/>
      <c r="H29" s="251"/>
      <c r="I29" s="251"/>
      <c r="J29" s="251"/>
    </row>
    <row r="30" spans="1:10" ht="15.75" x14ac:dyDescent="0.25">
      <c r="A30" s="245"/>
      <c r="B30" s="246" t="s">
        <v>26</v>
      </c>
      <c r="C30" s="23"/>
      <c r="D30" s="275"/>
      <c r="E30" s="275"/>
      <c r="F30" s="275"/>
      <c r="G30" s="275"/>
      <c r="H30" s="275"/>
      <c r="I30" s="275"/>
      <c r="J30" s="275"/>
    </row>
    <row r="31" spans="1:10" ht="15.75" x14ac:dyDescent="0.25">
      <c r="A31" s="245"/>
      <c r="B31" s="246" t="s">
        <v>126</v>
      </c>
      <c r="C31" s="23"/>
      <c r="D31" s="275"/>
      <c r="E31" s="275"/>
      <c r="F31" s="275"/>
      <c r="G31" s="275"/>
      <c r="H31" s="275"/>
      <c r="I31" s="275"/>
      <c r="J31" s="275"/>
    </row>
    <row r="32" spans="1:10" ht="15.75" x14ac:dyDescent="0.25">
      <c r="A32" s="245"/>
      <c r="B32" s="246" t="s">
        <v>86</v>
      </c>
      <c r="C32" s="23"/>
      <c r="D32" s="275"/>
      <c r="E32" s="275"/>
      <c r="F32" s="275"/>
      <c r="G32" s="275"/>
      <c r="H32" s="275"/>
      <c r="I32" s="275"/>
      <c r="J32" s="275"/>
    </row>
    <row r="33" spans="1:12" ht="15.75" x14ac:dyDescent="0.25">
      <c r="A33" s="245"/>
      <c r="B33" s="246" t="s">
        <v>87</v>
      </c>
      <c r="C33" s="23"/>
      <c r="D33" s="275"/>
      <c r="E33" s="275"/>
      <c r="F33" s="275"/>
      <c r="G33" s="275"/>
      <c r="H33" s="275"/>
      <c r="I33" s="275"/>
      <c r="J33" s="275"/>
    </row>
    <row r="34" spans="1:12" ht="15.75" x14ac:dyDescent="0.25">
      <c r="A34" s="245"/>
      <c r="B34" s="246" t="s">
        <v>88</v>
      </c>
      <c r="C34" s="23"/>
      <c r="D34" s="275"/>
      <c r="E34" s="275"/>
      <c r="F34" s="275"/>
      <c r="G34" s="275"/>
      <c r="H34" s="275"/>
      <c r="I34" s="275"/>
      <c r="J34" s="275"/>
    </row>
    <row r="35" spans="1:12" ht="15.75" x14ac:dyDescent="0.25">
      <c r="A35" s="245"/>
      <c r="B35" s="246" t="s">
        <v>166</v>
      </c>
      <c r="C35" s="23"/>
      <c r="D35" s="275"/>
      <c r="E35" s="275"/>
      <c r="F35" s="275"/>
      <c r="G35" s="275"/>
      <c r="H35" s="275"/>
      <c r="I35" s="275"/>
      <c r="J35" s="275"/>
    </row>
    <row r="36" spans="1:12" ht="15.75" x14ac:dyDescent="0.25">
      <c r="A36" s="245"/>
      <c r="B36" s="246" t="s">
        <v>167</v>
      </c>
      <c r="C36" s="23"/>
      <c r="D36" s="275"/>
      <c r="E36" s="275"/>
      <c r="F36" s="275"/>
      <c r="G36" s="275"/>
      <c r="H36" s="275"/>
      <c r="I36" s="275"/>
      <c r="J36" s="275"/>
    </row>
    <row r="37" spans="1:12" ht="15.75" x14ac:dyDescent="0.25">
      <c r="A37" s="245"/>
      <c r="B37" s="246" t="s">
        <v>27</v>
      </c>
      <c r="C37" s="23"/>
      <c r="D37" s="275"/>
      <c r="E37" s="275"/>
      <c r="F37" s="275"/>
      <c r="G37" s="275"/>
      <c r="H37" s="275"/>
      <c r="I37" s="275"/>
      <c r="J37" s="275"/>
    </row>
    <row r="38" spans="1:12" ht="15.75" x14ac:dyDescent="0.25">
      <c r="A38" s="252"/>
      <c r="B38" s="246" t="s">
        <v>89</v>
      </c>
      <c r="C38" s="23"/>
      <c r="D38" s="275"/>
      <c r="E38" s="275"/>
      <c r="F38" s="275"/>
      <c r="G38" s="275"/>
      <c r="H38" s="275"/>
      <c r="I38" s="275"/>
      <c r="J38" s="275"/>
    </row>
    <row r="39" spans="1:12" ht="16.5" thickBot="1" x14ac:dyDescent="0.3">
      <c r="A39" s="252"/>
      <c r="B39" s="249" t="s">
        <v>15</v>
      </c>
      <c r="C39" s="23"/>
      <c r="D39" s="235">
        <f>SUM(D30:D38)</f>
        <v>0</v>
      </c>
      <c r="E39" s="235">
        <f t="shared" ref="E39:J39" si="2">SUM(E30:E38)</f>
        <v>0</v>
      </c>
      <c r="F39" s="235">
        <f t="shared" si="2"/>
        <v>0</v>
      </c>
      <c r="G39" s="235">
        <f t="shared" si="2"/>
        <v>0</v>
      </c>
      <c r="H39" s="235">
        <f t="shared" si="2"/>
        <v>0</v>
      </c>
      <c r="I39" s="235">
        <f t="shared" si="2"/>
        <v>0</v>
      </c>
      <c r="J39" s="235">
        <f t="shared" si="2"/>
        <v>0</v>
      </c>
    </row>
    <row r="40" spans="1:12" ht="16.5" thickTop="1" x14ac:dyDescent="0.25">
      <c r="A40" s="252"/>
      <c r="B40" s="252"/>
      <c r="C40" s="23"/>
      <c r="D40" s="236"/>
      <c r="E40" s="236"/>
      <c r="F40" s="236"/>
      <c r="G40" s="236"/>
      <c r="H40" s="236"/>
      <c r="I40" s="236"/>
      <c r="J40" s="236"/>
    </row>
    <row r="41" spans="1:12" ht="16.5" thickBot="1" x14ac:dyDescent="0.3">
      <c r="A41" s="252"/>
      <c r="B41" s="249" t="s">
        <v>28</v>
      </c>
      <c r="C41" s="23"/>
      <c r="D41" s="235">
        <f t="shared" ref="D41:J41" si="3">+D13+D27+D39</f>
        <v>5000000</v>
      </c>
      <c r="E41" s="235">
        <f t="shared" si="3"/>
        <v>5000000</v>
      </c>
      <c r="F41" s="235">
        <f t="shared" si="3"/>
        <v>900000</v>
      </c>
      <c r="G41" s="235">
        <f t="shared" si="3"/>
        <v>750000</v>
      </c>
      <c r="H41" s="235">
        <f t="shared" si="3"/>
        <v>500000</v>
      </c>
      <c r="I41" s="235">
        <f t="shared" si="3"/>
        <v>400000</v>
      </c>
      <c r="J41" s="235">
        <f t="shared" si="3"/>
        <v>4500000</v>
      </c>
    </row>
    <row r="42" spans="1:12" ht="16.5" thickTop="1" x14ac:dyDescent="0.25">
      <c r="A42" s="252"/>
      <c r="B42" s="253"/>
      <c r="C42" s="23"/>
      <c r="D42" s="236"/>
      <c r="E42" s="236"/>
      <c r="F42" s="236"/>
      <c r="G42" s="236"/>
      <c r="H42" s="236"/>
      <c r="I42" s="236"/>
      <c r="J42" s="236"/>
    </row>
    <row r="43" spans="1:12" ht="15.75" x14ac:dyDescent="0.25">
      <c r="A43" s="216"/>
      <c r="B43" s="249" t="s">
        <v>30</v>
      </c>
      <c r="C43" s="277">
        <v>0.2</v>
      </c>
      <c r="D43" s="237">
        <f>+D41*$C$43</f>
        <v>1000000</v>
      </c>
      <c r="E43" s="237">
        <f t="shared" ref="E43:J43" si="4">+E41*$C$43</f>
        <v>1000000</v>
      </c>
      <c r="F43" s="237">
        <f t="shared" si="4"/>
        <v>180000</v>
      </c>
      <c r="G43" s="237">
        <f t="shared" si="4"/>
        <v>150000</v>
      </c>
      <c r="H43" s="237">
        <f t="shared" si="4"/>
        <v>100000</v>
      </c>
      <c r="I43" s="237">
        <f t="shared" si="4"/>
        <v>80000</v>
      </c>
      <c r="J43" s="237">
        <f t="shared" si="4"/>
        <v>900000</v>
      </c>
    </row>
    <row r="44" spans="1:12" ht="16.5" thickBot="1" x14ac:dyDescent="0.3">
      <c r="A44" s="216"/>
      <c r="B44" s="249" t="s">
        <v>31</v>
      </c>
      <c r="C44" s="23"/>
      <c r="D44" s="238">
        <f>+D43+D41</f>
        <v>6000000</v>
      </c>
      <c r="E44" s="238">
        <f t="shared" ref="E44:J44" si="5">+E43+E41</f>
        <v>6000000</v>
      </c>
      <c r="F44" s="238">
        <f t="shared" si="5"/>
        <v>1080000</v>
      </c>
      <c r="G44" s="238">
        <f t="shared" si="5"/>
        <v>900000</v>
      </c>
      <c r="H44" s="238">
        <f t="shared" si="5"/>
        <v>600000</v>
      </c>
      <c r="I44" s="238">
        <f t="shared" si="5"/>
        <v>480000</v>
      </c>
      <c r="J44" s="238">
        <f t="shared" si="5"/>
        <v>5400000</v>
      </c>
    </row>
    <row r="45" spans="1:12" ht="16.5" thickTop="1" x14ac:dyDescent="0.25">
      <c r="A45" s="245"/>
      <c r="B45" s="252"/>
      <c r="C45" s="23"/>
      <c r="D45" s="23"/>
      <c r="E45" s="23"/>
      <c r="F45" s="23"/>
      <c r="G45" s="23"/>
      <c r="H45" s="23"/>
      <c r="I45" s="23"/>
      <c r="J45" s="23"/>
    </row>
    <row r="46" spans="1:12" x14ac:dyDescent="0.2">
      <c r="A46" s="216"/>
      <c r="B46" s="216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1:12" ht="15.75" x14ac:dyDescent="0.25">
      <c r="A47" s="216"/>
      <c r="B47" s="252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1:12" ht="15.75" x14ac:dyDescent="0.25">
      <c r="A48" s="216"/>
      <c r="B48" s="252"/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49" spans="1:11" x14ac:dyDescent="0.2">
      <c r="A49" s="216"/>
      <c r="B49" s="245"/>
      <c r="C49" s="23"/>
      <c r="D49" s="23"/>
      <c r="E49" s="23"/>
      <c r="F49" s="23"/>
      <c r="G49" s="23"/>
      <c r="H49" s="23"/>
      <c r="I49" s="23"/>
      <c r="J49" s="23"/>
      <c r="K49" s="23"/>
    </row>
    <row r="50" spans="1:11" x14ac:dyDescent="0.2">
      <c r="A50" s="216"/>
      <c r="B50" s="245"/>
      <c r="C50" s="23"/>
      <c r="D50" s="23"/>
      <c r="E50" s="23"/>
      <c r="F50" s="23"/>
      <c r="G50" s="23"/>
      <c r="H50" s="23"/>
      <c r="I50" s="23"/>
      <c r="J50" s="23"/>
      <c r="K50" s="23"/>
    </row>
    <row r="51" spans="1:11" x14ac:dyDescent="0.2">
      <c r="A51" s="216"/>
      <c r="B51" s="245"/>
      <c r="C51" s="23"/>
      <c r="D51" s="23"/>
      <c r="E51" s="23"/>
      <c r="F51" s="23"/>
      <c r="G51" s="23"/>
      <c r="H51" s="23"/>
    </row>
    <row r="52" spans="1:11" x14ac:dyDescent="0.2">
      <c r="A52" s="216"/>
      <c r="B52" s="245"/>
      <c r="C52" s="23"/>
      <c r="D52" s="23"/>
      <c r="E52" s="23"/>
      <c r="F52" s="23"/>
      <c r="G52" s="23"/>
      <c r="H52" s="23"/>
    </row>
    <row r="53" spans="1:11" x14ac:dyDescent="0.2">
      <c r="A53" s="216"/>
      <c r="B53" s="245"/>
      <c r="C53" s="23"/>
      <c r="D53" s="23"/>
      <c r="E53" s="23"/>
      <c r="F53" s="23"/>
      <c r="G53" s="23"/>
      <c r="H53" s="23"/>
    </row>
    <row r="54" spans="1:11" x14ac:dyDescent="0.2">
      <c r="A54" s="216"/>
      <c r="B54" s="245"/>
      <c r="C54" s="23"/>
      <c r="D54" s="23"/>
      <c r="E54" s="23"/>
      <c r="F54" s="23"/>
      <c r="G54" s="23"/>
      <c r="H54" s="23"/>
    </row>
    <row r="55" spans="1:11" x14ac:dyDescent="0.2">
      <c r="A55" s="216"/>
      <c r="B55" s="245"/>
      <c r="C55" s="23"/>
      <c r="D55" s="23"/>
      <c r="E55" s="23"/>
      <c r="F55" s="23"/>
      <c r="G55" s="23"/>
      <c r="H55" s="23"/>
    </row>
    <row r="56" spans="1:11" x14ac:dyDescent="0.2">
      <c r="A56" s="216"/>
      <c r="B56" s="245"/>
      <c r="C56" s="23"/>
      <c r="D56" s="23"/>
      <c r="E56" s="23"/>
      <c r="F56" s="23"/>
      <c r="G56" s="23"/>
      <c r="H56" s="23"/>
    </row>
    <row r="57" spans="1:11" x14ac:dyDescent="0.2">
      <c r="A57" s="216"/>
      <c r="B57" s="245"/>
      <c r="C57" s="23"/>
      <c r="D57" s="23"/>
      <c r="E57" s="23"/>
      <c r="F57" s="23"/>
      <c r="G57" s="23"/>
      <c r="H57" s="23"/>
    </row>
    <row r="58" spans="1:11" x14ac:dyDescent="0.2">
      <c r="A58" s="216"/>
      <c r="B58" s="245"/>
      <c r="C58" s="23"/>
      <c r="D58" s="23"/>
      <c r="E58" s="23"/>
      <c r="F58" s="23"/>
      <c r="G58" s="23"/>
      <c r="H58" s="23"/>
    </row>
    <row r="59" spans="1:11" x14ac:dyDescent="0.2">
      <c r="A59" s="216"/>
      <c r="B59" s="245"/>
      <c r="C59" s="23"/>
      <c r="D59" s="23"/>
      <c r="E59" s="23"/>
      <c r="F59" s="23"/>
      <c r="G59" s="23"/>
      <c r="H59" s="23"/>
    </row>
    <row r="60" spans="1:11" x14ac:dyDescent="0.2">
      <c r="A60" s="216"/>
      <c r="B60" s="245"/>
      <c r="C60" s="23"/>
    </row>
    <row r="61" spans="1:11" x14ac:dyDescent="0.2">
      <c r="A61" s="216"/>
      <c r="B61" s="245"/>
      <c r="C61" s="23"/>
      <c r="D61" s="23"/>
      <c r="E61" s="23"/>
      <c r="F61" s="23"/>
      <c r="G61" s="23"/>
      <c r="H61" s="23"/>
    </row>
    <row r="62" spans="1:11" x14ac:dyDescent="0.2">
      <c r="A62" s="216"/>
      <c r="B62" s="245"/>
      <c r="C62" s="23"/>
      <c r="D62" s="23"/>
      <c r="E62" s="23"/>
      <c r="F62" s="23"/>
      <c r="G62" s="23"/>
      <c r="H62" s="23"/>
    </row>
    <row r="63" spans="1:11" x14ac:dyDescent="0.2">
      <c r="A63" s="216"/>
      <c r="B63" s="216"/>
      <c r="C63" s="248"/>
    </row>
    <row r="64" spans="1:11" x14ac:dyDescent="0.2">
      <c r="A64" s="216"/>
      <c r="B64" s="216"/>
      <c r="C64" s="248"/>
    </row>
    <row r="65" spans="1:3" x14ac:dyDescent="0.2">
      <c r="A65" s="216"/>
      <c r="B65" s="216"/>
      <c r="C65" s="248"/>
    </row>
    <row r="66" spans="1:3" x14ac:dyDescent="0.2">
      <c r="A66" s="216"/>
      <c r="B66" s="216"/>
      <c r="C66" s="248"/>
    </row>
    <row r="67" spans="1:3" x14ac:dyDescent="0.2">
      <c r="C67" s="248"/>
    </row>
    <row r="68" spans="1:3" x14ac:dyDescent="0.2">
      <c r="C68" s="248"/>
    </row>
    <row r="69" spans="1:3" x14ac:dyDescent="0.2">
      <c r="C69" s="248"/>
    </row>
    <row r="70" spans="1:3" x14ac:dyDescent="0.2">
      <c r="C70" s="248"/>
    </row>
    <row r="71" spans="1:3" x14ac:dyDescent="0.2">
      <c r="C71" s="248"/>
    </row>
    <row r="72" spans="1:3" x14ac:dyDescent="0.2">
      <c r="C72" s="248"/>
    </row>
    <row r="73" spans="1:3" x14ac:dyDescent="0.2">
      <c r="C73" s="248"/>
    </row>
    <row r="74" spans="1:3" x14ac:dyDescent="0.2">
      <c r="C74" s="248"/>
    </row>
    <row r="75" spans="1:3" x14ac:dyDescent="0.2">
      <c r="C75" s="248"/>
    </row>
    <row r="78" spans="1:3" x14ac:dyDescent="0.2">
      <c r="C78" s="248"/>
    </row>
    <row r="79" spans="1:3" x14ac:dyDescent="0.2">
      <c r="C79" s="247"/>
    </row>
  </sheetData>
  <sheetProtection password="C9E6" sheet="1" objects="1" scenarios="1" selectLockedCells="1"/>
  <mergeCells count="1">
    <mergeCell ref="B7:E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L20"/>
  <sheetViews>
    <sheetView workbookViewId="0">
      <selection activeCell="K12" sqref="K12"/>
    </sheetView>
  </sheetViews>
  <sheetFormatPr defaultRowHeight="12.75" x14ac:dyDescent="0.2"/>
  <cols>
    <col min="3" max="3" width="37.42578125" customWidth="1"/>
    <col min="4" max="4" width="5.7109375" customWidth="1"/>
    <col min="5" max="11" width="13.7109375" customWidth="1"/>
  </cols>
  <sheetData>
    <row r="2" spans="1:12" ht="21" x14ac:dyDescent="0.35">
      <c r="B2" s="91" t="s">
        <v>77</v>
      </c>
      <c r="C2" s="23"/>
      <c r="D2" s="23"/>
      <c r="E2" s="23"/>
      <c r="F2" s="23"/>
      <c r="G2" s="23"/>
      <c r="H2" s="23"/>
      <c r="I2" s="23"/>
      <c r="J2" s="23"/>
      <c r="K2" s="23"/>
    </row>
    <row r="3" spans="1:12" ht="21" x14ac:dyDescent="0.35">
      <c r="B3" s="91" t="s">
        <v>78</v>
      </c>
      <c r="C3" s="23"/>
      <c r="D3" s="23"/>
      <c r="E3" s="23"/>
      <c r="F3" s="23"/>
      <c r="G3" s="23"/>
      <c r="H3" s="23"/>
      <c r="I3" s="23"/>
      <c r="J3" s="23"/>
      <c r="K3" s="23"/>
    </row>
    <row r="4" spans="1:12" ht="21" x14ac:dyDescent="0.35">
      <c r="B4" s="91" t="s">
        <v>117</v>
      </c>
      <c r="C4" s="263"/>
      <c r="D4" s="23"/>
      <c r="E4" s="23"/>
      <c r="F4" s="23"/>
      <c r="G4" s="23"/>
      <c r="H4" s="23"/>
      <c r="I4" s="23"/>
      <c r="J4" s="23"/>
      <c r="K4" s="23"/>
    </row>
    <row r="5" spans="1:12" ht="21.75" thickBot="1" x14ac:dyDescent="0.4">
      <c r="B5" s="91"/>
      <c r="C5" s="23"/>
      <c r="D5" s="23"/>
      <c r="E5" s="23"/>
      <c r="F5" s="23"/>
      <c r="G5" s="23"/>
      <c r="H5" s="23"/>
      <c r="I5" s="23"/>
      <c r="J5" s="23"/>
      <c r="K5" s="23"/>
    </row>
    <row r="6" spans="1:12" ht="57" thickBot="1" x14ac:dyDescent="0.35">
      <c r="B6" s="23"/>
      <c r="C6" s="23"/>
      <c r="D6" s="23"/>
      <c r="E6" s="254" t="str">
        <f>+Capital!D5</f>
        <v>Wood chip (dry)</v>
      </c>
      <c r="F6" s="255" t="str">
        <f>+Capital!E5</f>
        <v>Wood chip (wet)</v>
      </c>
      <c r="G6" s="256" t="str">
        <f>+Capital!F5</f>
        <v>Diesel, LFO</v>
      </c>
      <c r="H6" s="255" t="str">
        <f>+Capital!G5</f>
        <v xml:space="preserve"> LPG</v>
      </c>
      <c r="I6" s="255" t="str">
        <f>+Capital!H5</f>
        <v>Electricity (direct use)</v>
      </c>
      <c r="J6" s="257" t="str">
        <f>+Capital!I5</f>
        <v>Electricity (heat pump)</v>
      </c>
      <c r="K6" s="257" t="str">
        <f>+Capital!J5</f>
        <v>Coal</v>
      </c>
    </row>
    <row r="8" spans="1:12" x14ac:dyDescent="0.2">
      <c r="A8" s="23"/>
      <c r="B8" s="23"/>
      <c r="C8" s="258" t="s">
        <v>122</v>
      </c>
      <c r="D8" s="23"/>
      <c r="E8" s="278">
        <v>40000</v>
      </c>
      <c r="F8" s="278">
        <v>40000</v>
      </c>
      <c r="G8" s="278">
        <v>40000</v>
      </c>
      <c r="H8" s="278">
        <v>25000</v>
      </c>
      <c r="I8" s="278">
        <v>14000</v>
      </c>
      <c r="J8" s="278">
        <v>10000</v>
      </c>
      <c r="K8" s="278">
        <v>30000</v>
      </c>
    </row>
    <row r="9" spans="1:12" x14ac:dyDescent="0.2">
      <c r="A9" s="23"/>
      <c r="B9" s="23"/>
      <c r="C9" s="259" t="s">
        <v>38</v>
      </c>
      <c r="D9" s="23"/>
      <c r="E9" s="278"/>
      <c r="F9" s="278"/>
      <c r="G9" s="278"/>
      <c r="H9" s="278"/>
      <c r="I9" s="278"/>
      <c r="J9" s="278"/>
      <c r="K9" s="278"/>
    </row>
    <row r="10" spans="1:12" x14ac:dyDescent="0.2">
      <c r="A10" s="23"/>
      <c r="B10" s="23"/>
      <c r="C10" s="259" t="s">
        <v>39</v>
      </c>
      <c r="D10" s="23"/>
      <c r="E10" s="278"/>
      <c r="F10" s="278"/>
      <c r="G10" s="278"/>
      <c r="H10" s="278"/>
      <c r="I10" s="278"/>
      <c r="J10" s="278"/>
      <c r="K10" s="278"/>
    </row>
    <row r="11" spans="1:12" x14ac:dyDescent="0.2">
      <c r="A11" s="23"/>
      <c r="B11" s="23"/>
      <c r="C11" s="259" t="s">
        <v>40</v>
      </c>
      <c r="D11" s="23"/>
      <c r="E11" s="278">
        <v>40000</v>
      </c>
      <c r="F11" s="278">
        <v>50000</v>
      </c>
      <c r="G11" s="278"/>
      <c r="H11" s="278"/>
      <c r="I11" s="278"/>
      <c r="J11" s="278"/>
      <c r="K11" s="278">
        <v>40000</v>
      </c>
    </row>
    <row r="12" spans="1:12" x14ac:dyDescent="0.2">
      <c r="A12" s="23"/>
      <c r="B12" s="23"/>
      <c r="C12" s="259" t="s">
        <v>41</v>
      </c>
      <c r="D12" s="23"/>
      <c r="E12" s="278"/>
      <c r="F12" s="278"/>
      <c r="G12" s="278"/>
      <c r="H12" s="278"/>
      <c r="I12" s="278"/>
      <c r="J12" s="278"/>
      <c r="K12" s="278"/>
    </row>
    <row r="13" spans="1:12" x14ac:dyDescent="0.2">
      <c r="A13" s="23"/>
      <c r="B13" s="23"/>
      <c r="C13" s="258" t="s">
        <v>123</v>
      </c>
      <c r="D13" s="23"/>
      <c r="E13" s="278"/>
      <c r="F13" s="278"/>
      <c r="G13" s="278"/>
      <c r="H13" s="278"/>
      <c r="I13" s="278"/>
      <c r="J13" s="278"/>
      <c r="K13" s="278"/>
    </row>
    <row r="14" spans="1:12" x14ac:dyDescent="0.2">
      <c r="A14" s="23"/>
      <c r="B14" s="23"/>
      <c r="C14" s="259" t="s">
        <v>1</v>
      </c>
      <c r="D14" s="23"/>
      <c r="E14" s="278"/>
      <c r="F14" s="278"/>
      <c r="G14" s="278"/>
      <c r="H14" s="278"/>
      <c r="I14" s="278"/>
      <c r="J14" s="278"/>
      <c r="K14" s="278"/>
    </row>
    <row r="15" spans="1:12" x14ac:dyDescent="0.2">
      <c r="A15" s="23"/>
      <c r="B15" s="23"/>
      <c r="C15" s="259" t="s">
        <v>48</v>
      </c>
      <c r="D15" s="23"/>
      <c r="E15" s="278"/>
      <c r="F15" s="278"/>
      <c r="G15" s="278"/>
      <c r="H15" s="278"/>
      <c r="I15" s="278"/>
      <c r="J15" s="278"/>
      <c r="K15" s="278"/>
    </row>
    <row r="16" spans="1:12" x14ac:dyDescent="0.2">
      <c r="A16" s="23"/>
      <c r="B16" s="23"/>
      <c r="C16" s="260" t="s">
        <v>42</v>
      </c>
      <c r="D16" s="23"/>
      <c r="E16" s="278"/>
      <c r="F16" s="278"/>
      <c r="G16" s="278"/>
      <c r="H16" s="278"/>
      <c r="I16" s="278"/>
      <c r="J16" s="278"/>
      <c r="K16" s="278"/>
      <c r="L16" s="114"/>
    </row>
    <row r="17" spans="3:11" x14ac:dyDescent="0.2">
      <c r="C17" s="260" t="s">
        <v>43</v>
      </c>
      <c r="D17" s="23"/>
      <c r="E17" s="278"/>
      <c r="F17" s="278"/>
      <c r="G17" s="278"/>
      <c r="H17" s="278"/>
      <c r="I17" s="278"/>
      <c r="J17" s="278"/>
      <c r="K17" s="278"/>
    </row>
    <row r="18" spans="3:11" x14ac:dyDescent="0.2">
      <c r="E18" s="132"/>
      <c r="F18" s="132"/>
      <c r="G18" s="132"/>
      <c r="H18" s="132"/>
      <c r="I18" s="132"/>
      <c r="J18" s="132"/>
      <c r="K18" s="132"/>
    </row>
    <row r="19" spans="3:11" ht="13.5" thickBot="1" x14ac:dyDescent="0.25">
      <c r="C19" s="133" t="s">
        <v>44</v>
      </c>
      <c r="D19" s="23"/>
      <c r="E19" s="261">
        <f t="shared" ref="E19:K19" si="0">SUM(E8:E17)-E15</f>
        <v>80000</v>
      </c>
      <c r="F19" s="261">
        <f t="shared" si="0"/>
        <v>90000</v>
      </c>
      <c r="G19" s="261">
        <f t="shared" si="0"/>
        <v>40000</v>
      </c>
      <c r="H19" s="261">
        <f t="shared" si="0"/>
        <v>25000</v>
      </c>
      <c r="I19" s="261">
        <f t="shared" si="0"/>
        <v>14000</v>
      </c>
      <c r="J19" s="261">
        <f t="shared" si="0"/>
        <v>10000</v>
      </c>
      <c r="K19" s="262">
        <f t="shared" si="0"/>
        <v>70000</v>
      </c>
    </row>
    <row r="20" spans="3:11" ht="13.5" thickTop="1" x14ac:dyDescent="0.2">
      <c r="C20" s="23"/>
      <c r="D20" s="23"/>
      <c r="E20" s="23"/>
      <c r="F20" s="23"/>
      <c r="G20" s="23"/>
      <c r="H20" s="23"/>
      <c r="I20" s="23"/>
      <c r="J20" s="23"/>
      <c r="K20" s="23"/>
    </row>
  </sheetData>
  <sheetProtection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O42"/>
  <sheetViews>
    <sheetView topLeftCell="D4" workbookViewId="0">
      <selection activeCell="N8" sqref="N8"/>
    </sheetView>
  </sheetViews>
  <sheetFormatPr defaultRowHeight="12.75" x14ac:dyDescent="0.2"/>
  <cols>
    <col min="2" max="2" width="3.42578125" customWidth="1"/>
    <col min="4" max="4" width="17.42578125" customWidth="1"/>
    <col min="5" max="5" width="49.7109375" bestFit="1" customWidth="1"/>
    <col min="6" max="7" width="7.7109375" customWidth="1"/>
    <col min="8" max="14" width="13.7109375" customWidth="1"/>
    <col min="15" max="15" width="34.28515625" bestFit="1" customWidth="1"/>
    <col min="16" max="16" width="7.5703125" customWidth="1"/>
    <col min="20" max="20" width="9.85546875" customWidth="1"/>
  </cols>
  <sheetData>
    <row r="1" spans="1:1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 ht="21" x14ac:dyDescent="0.35">
      <c r="C2" s="91" t="s">
        <v>77</v>
      </c>
      <c r="D2" s="23"/>
      <c r="E2" s="23"/>
      <c r="F2" s="23"/>
      <c r="G2" s="23"/>
      <c r="H2" s="193" t="s">
        <v>153</v>
      </c>
      <c r="I2" s="23"/>
      <c r="J2" s="23"/>
      <c r="K2" s="23"/>
      <c r="L2" s="23"/>
      <c r="M2" s="23"/>
      <c r="N2" s="23"/>
    </row>
    <row r="3" spans="1:15" ht="21" x14ac:dyDescent="0.35">
      <c r="C3" s="91" t="s">
        <v>78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ht="21.75" thickBot="1" x14ac:dyDescent="0.4">
      <c r="C4" s="91" t="s">
        <v>118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5" ht="57" thickBot="1" x14ac:dyDescent="0.35">
      <c r="A5" s="23"/>
      <c r="B5" s="23"/>
      <c r="C5" s="23"/>
      <c r="D5" s="23"/>
      <c r="E5" s="23"/>
      <c r="F5" s="23"/>
      <c r="G5" s="23"/>
      <c r="H5" s="93" t="str">
        <f>+Capital!D5</f>
        <v>Wood chip (dry)</v>
      </c>
      <c r="I5" s="92" t="str">
        <f>+Capital!E5</f>
        <v>Wood chip (wet)</v>
      </c>
      <c r="J5" s="94" t="str">
        <f>+Capital!F5</f>
        <v>Diesel, LFO</v>
      </c>
      <c r="K5" s="92" t="str">
        <f>+Capital!G5</f>
        <v xml:space="preserve"> LPG</v>
      </c>
      <c r="L5" s="92" t="str">
        <f>+Capital!H5</f>
        <v>Electricity (direct use)</v>
      </c>
      <c r="M5" s="95" t="str">
        <f>+Capital!I5</f>
        <v>Electricity (heat pump)</v>
      </c>
      <c r="N5" s="95" t="str">
        <f>+Capital!J5</f>
        <v>Coal</v>
      </c>
    </row>
    <row r="7" spans="1:15" x14ac:dyDescent="0.2">
      <c r="A7" s="23"/>
      <c r="B7" s="23"/>
      <c r="D7" s="133" t="s">
        <v>104</v>
      </c>
      <c r="E7" s="284">
        <v>300000</v>
      </c>
      <c r="F7" s="169"/>
      <c r="H7" s="285">
        <f>+$E$7</f>
        <v>300000</v>
      </c>
      <c r="I7" s="286">
        <f t="shared" ref="I7:N7" si="0">+$E$7</f>
        <v>300000</v>
      </c>
      <c r="J7" s="285">
        <f t="shared" si="0"/>
        <v>300000</v>
      </c>
      <c r="K7" s="286">
        <f t="shared" si="0"/>
        <v>300000</v>
      </c>
      <c r="L7" s="285">
        <f t="shared" si="0"/>
        <v>300000</v>
      </c>
      <c r="M7" s="286">
        <f t="shared" si="0"/>
        <v>300000</v>
      </c>
      <c r="N7" s="285">
        <f t="shared" si="0"/>
        <v>300000</v>
      </c>
    </row>
    <row r="8" spans="1:15" x14ac:dyDescent="0.2">
      <c r="A8" s="23"/>
      <c r="B8" s="23"/>
      <c r="C8" s="23"/>
      <c r="D8" s="23"/>
      <c r="E8" s="126" t="s">
        <v>127</v>
      </c>
      <c r="F8" s="114"/>
      <c r="G8" s="27" t="s">
        <v>29</v>
      </c>
      <c r="H8" s="265">
        <v>0.73</v>
      </c>
      <c r="I8" s="265">
        <v>0.62</v>
      </c>
      <c r="J8" s="265">
        <v>0.8</v>
      </c>
      <c r="K8" s="265">
        <v>0.9</v>
      </c>
      <c r="L8" s="265">
        <v>0.98</v>
      </c>
      <c r="M8" s="266">
        <v>4</v>
      </c>
      <c r="N8" s="265">
        <v>0.75</v>
      </c>
      <c r="O8" t="s">
        <v>97</v>
      </c>
    </row>
    <row r="9" spans="1:15" x14ac:dyDescent="0.2">
      <c r="A9" s="23"/>
      <c r="B9" s="23"/>
      <c r="C9" s="23"/>
      <c r="D9" s="23"/>
      <c r="E9" s="126" t="s">
        <v>95</v>
      </c>
      <c r="F9" s="114"/>
      <c r="G9" s="4" t="s">
        <v>4</v>
      </c>
      <c r="H9" s="90">
        <f>+H7/H8</f>
        <v>410958.90410958906</v>
      </c>
      <c r="I9" s="90">
        <f t="shared" ref="I9:N9" si="1">+I7/I8</f>
        <v>483870.96774193551</v>
      </c>
      <c r="J9" s="90">
        <f t="shared" si="1"/>
        <v>375000</v>
      </c>
      <c r="K9" s="90">
        <f t="shared" si="1"/>
        <v>333333.33333333331</v>
      </c>
      <c r="L9" s="90">
        <f t="shared" si="1"/>
        <v>306122.44897959183</v>
      </c>
      <c r="M9" s="90">
        <f t="shared" si="1"/>
        <v>75000</v>
      </c>
      <c r="N9" s="90">
        <f t="shared" si="1"/>
        <v>400000</v>
      </c>
    </row>
    <row r="10" spans="1:15" x14ac:dyDescent="0.2">
      <c r="D10" s="23"/>
      <c r="E10" s="116" t="s">
        <v>91</v>
      </c>
      <c r="F10" s="4"/>
      <c r="G10" s="4" t="s">
        <v>90</v>
      </c>
      <c r="H10" s="264">
        <v>11.11</v>
      </c>
      <c r="I10" s="264">
        <v>7.4</v>
      </c>
      <c r="J10" s="264">
        <v>30.26</v>
      </c>
      <c r="K10" s="264">
        <v>25</v>
      </c>
      <c r="L10" s="264">
        <v>20</v>
      </c>
      <c r="M10" s="264">
        <v>20</v>
      </c>
      <c r="N10" s="264">
        <v>8</v>
      </c>
    </row>
    <row r="11" spans="1:15" ht="13.5" thickBot="1" x14ac:dyDescent="0.25">
      <c r="D11" s="23"/>
      <c r="E11" s="117" t="s">
        <v>146</v>
      </c>
      <c r="F11" s="3"/>
      <c r="G11" s="4" t="s">
        <v>90</v>
      </c>
      <c r="H11" s="97">
        <f>H9*H10</f>
        <v>4565753.4246575339</v>
      </c>
      <c r="I11" s="97">
        <f t="shared" ref="I11:N11" si="2">I9*I10</f>
        <v>3580645.1612903229</v>
      </c>
      <c r="J11" s="97">
        <f t="shared" si="2"/>
        <v>11347500</v>
      </c>
      <c r="K11" s="97">
        <f t="shared" si="2"/>
        <v>8333333.333333333</v>
      </c>
      <c r="L11" s="97">
        <f t="shared" si="2"/>
        <v>6122448.9795918372</v>
      </c>
      <c r="M11" s="97">
        <f t="shared" si="2"/>
        <v>1500000</v>
      </c>
      <c r="N11" s="97">
        <f t="shared" si="2"/>
        <v>3200000</v>
      </c>
    </row>
    <row r="12" spans="1:15" ht="13.5" thickTop="1" x14ac:dyDescent="0.2">
      <c r="D12" s="23"/>
      <c r="E12" s="3"/>
      <c r="F12" s="3"/>
      <c r="G12" s="4"/>
      <c r="H12" s="132"/>
      <c r="I12" s="132"/>
      <c r="J12" s="132"/>
      <c r="K12" s="132"/>
      <c r="L12" s="132"/>
      <c r="M12" s="132"/>
      <c r="N12" s="132"/>
    </row>
    <row r="13" spans="1:15" x14ac:dyDescent="0.2">
      <c r="D13" s="23"/>
      <c r="E13" s="127" t="s">
        <v>56</v>
      </c>
      <c r="H13" s="130">
        <v>0</v>
      </c>
      <c r="I13" s="130">
        <v>0</v>
      </c>
      <c r="J13" s="130">
        <v>80</v>
      </c>
      <c r="K13" s="130">
        <v>60</v>
      </c>
      <c r="L13" s="130">
        <v>0</v>
      </c>
      <c r="M13" s="130">
        <v>0</v>
      </c>
      <c r="N13" s="130">
        <v>90</v>
      </c>
    </row>
    <row r="14" spans="1:15" x14ac:dyDescent="0.2">
      <c r="D14" s="23"/>
      <c r="E14" s="126" t="s">
        <v>105</v>
      </c>
      <c r="F14" s="114"/>
      <c r="H14" s="129">
        <f>(H7/1000)*H13</f>
        <v>0</v>
      </c>
      <c r="I14" s="129">
        <f t="shared" ref="I14:N14" si="3">(I7/1000)*I13</f>
        <v>0</v>
      </c>
      <c r="J14" s="129">
        <f t="shared" si="3"/>
        <v>24000</v>
      </c>
      <c r="K14" s="129">
        <f t="shared" si="3"/>
        <v>18000</v>
      </c>
      <c r="L14" s="129">
        <f t="shared" si="3"/>
        <v>0</v>
      </c>
      <c r="M14" s="129">
        <f t="shared" si="3"/>
        <v>0</v>
      </c>
      <c r="N14" s="129">
        <f t="shared" si="3"/>
        <v>27000</v>
      </c>
    </row>
    <row r="15" spans="1:15" x14ac:dyDescent="0.2">
      <c r="D15" s="23"/>
      <c r="F15" s="174" t="s">
        <v>148</v>
      </c>
      <c r="G15" s="174" t="s">
        <v>151</v>
      </c>
    </row>
    <row r="16" spans="1:15" x14ac:dyDescent="0.2">
      <c r="F16" s="175" t="s">
        <v>149</v>
      </c>
      <c r="G16" s="175" t="s">
        <v>150</v>
      </c>
    </row>
    <row r="17" spans="3:15" x14ac:dyDescent="0.2">
      <c r="D17" s="23"/>
      <c r="E17" s="117" t="s">
        <v>147</v>
      </c>
      <c r="F17" s="267">
        <v>1</v>
      </c>
      <c r="G17" s="268">
        <v>25</v>
      </c>
      <c r="H17" s="128">
        <f>$G$17*H14</f>
        <v>0</v>
      </c>
      <c r="I17" s="128">
        <f t="shared" ref="I17:N17" si="4">$G$17*I14</f>
        <v>0</v>
      </c>
      <c r="J17" s="128">
        <f t="shared" si="4"/>
        <v>600000</v>
      </c>
      <c r="K17" s="128">
        <f t="shared" si="4"/>
        <v>450000</v>
      </c>
      <c r="L17" s="128">
        <f t="shared" si="4"/>
        <v>0</v>
      </c>
      <c r="M17" s="128">
        <f t="shared" si="4"/>
        <v>0</v>
      </c>
      <c r="N17" s="128">
        <f t="shared" si="4"/>
        <v>675000</v>
      </c>
    </row>
    <row r="18" spans="3:15" x14ac:dyDescent="0.2">
      <c r="D18" s="23"/>
      <c r="E18" s="117" t="s">
        <v>147</v>
      </c>
      <c r="F18" s="267">
        <v>6</v>
      </c>
      <c r="G18" s="268">
        <v>60</v>
      </c>
      <c r="H18" s="189">
        <f>$G$18*H14</f>
        <v>0</v>
      </c>
      <c r="I18" s="189">
        <f t="shared" ref="I18:N18" si="5">$G$18*I14</f>
        <v>0</v>
      </c>
      <c r="J18" s="189">
        <f t="shared" si="5"/>
        <v>1440000</v>
      </c>
      <c r="K18" s="189">
        <f t="shared" si="5"/>
        <v>1080000</v>
      </c>
      <c r="L18" s="189">
        <f t="shared" si="5"/>
        <v>0</v>
      </c>
      <c r="M18" s="189">
        <f t="shared" si="5"/>
        <v>0</v>
      </c>
      <c r="N18" s="189">
        <f t="shared" si="5"/>
        <v>1620000</v>
      </c>
    </row>
    <row r="19" spans="3:15" x14ac:dyDescent="0.2">
      <c r="D19" s="23"/>
      <c r="E19" s="117" t="s">
        <v>147</v>
      </c>
      <c r="F19" s="269">
        <v>12</v>
      </c>
      <c r="G19" s="270">
        <v>120</v>
      </c>
      <c r="H19" s="189">
        <f>$G$19*H14</f>
        <v>0</v>
      </c>
      <c r="I19" s="189">
        <f t="shared" ref="I19:N19" si="6">$G$19*I14</f>
        <v>0</v>
      </c>
      <c r="J19" s="189">
        <f t="shared" si="6"/>
        <v>2880000</v>
      </c>
      <c r="K19" s="189">
        <f t="shared" si="6"/>
        <v>2160000</v>
      </c>
      <c r="L19" s="189">
        <f t="shared" si="6"/>
        <v>0</v>
      </c>
      <c r="M19" s="189">
        <f t="shared" si="6"/>
        <v>0</v>
      </c>
      <c r="N19" s="189">
        <f t="shared" si="6"/>
        <v>3240000</v>
      </c>
    </row>
    <row r="20" spans="3:15" x14ac:dyDescent="0.2">
      <c r="D20" s="23"/>
      <c r="E20" s="184"/>
      <c r="F20" s="185"/>
      <c r="G20" s="186"/>
      <c r="H20" s="132"/>
      <c r="I20" s="132"/>
      <c r="J20" s="132"/>
      <c r="K20" s="132"/>
      <c r="L20" s="132"/>
      <c r="M20" s="132"/>
      <c r="N20" s="132"/>
    </row>
    <row r="21" spans="3:15" ht="25.5" x14ac:dyDescent="0.2">
      <c r="D21" s="23"/>
      <c r="E21" s="184"/>
      <c r="F21" s="187" t="s">
        <v>152</v>
      </c>
      <c r="G21" s="186"/>
      <c r="H21" s="132"/>
      <c r="I21" s="132"/>
      <c r="J21" s="132"/>
      <c r="K21" s="132"/>
      <c r="L21" s="132"/>
      <c r="M21" s="132"/>
      <c r="N21" s="132"/>
    </row>
    <row r="22" spans="3:15" x14ac:dyDescent="0.2">
      <c r="D22" s="23"/>
      <c r="E22" s="117" t="s">
        <v>158</v>
      </c>
      <c r="F22" s="188">
        <f>F17</f>
        <v>1</v>
      </c>
      <c r="G22" s="188"/>
      <c r="H22" s="189">
        <f>H11+H17</f>
        <v>4565753.4246575339</v>
      </c>
      <c r="I22" s="189">
        <f t="shared" ref="I22:N22" si="7">I11+I17</f>
        <v>3580645.1612903229</v>
      </c>
      <c r="J22" s="189">
        <f t="shared" si="7"/>
        <v>11947500</v>
      </c>
      <c r="K22" s="189">
        <f t="shared" si="7"/>
        <v>8783333.3333333321</v>
      </c>
      <c r="L22" s="189">
        <f t="shared" si="7"/>
        <v>6122448.9795918372</v>
      </c>
      <c r="M22" s="189">
        <f t="shared" si="7"/>
        <v>1500000</v>
      </c>
      <c r="N22" s="189">
        <f t="shared" si="7"/>
        <v>3875000</v>
      </c>
    </row>
    <row r="23" spans="3:15" x14ac:dyDescent="0.2">
      <c r="D23" s="23"/>
      <c r="E23" s="117" t="s">
        <v>158</v>
      </c>
      <c r="F23" s="188">
        <f t="shared" ref="F23:F24" si="8">F18</f>
        <v>6</v>
      </c>
      <c r="G23" s="188"/>
      <c r="H23" s="189">
        <f>H11+H18</f>
        <v>4565753.4246575339</v>
      </c>
      <c r="I23" s="189">
        <f t="shared" ref="I23:N23" si="9">I11+I18</f>
        <v>3580645.1612903229</v>
      </c>
      <c r="J23" s="189">
        <f t="shared" si="9"/>
        <v>12787500</v>
      </c>
      <c r="K23" s="189">
        <f t="shared" si="9"/>
        <v>9413333.3333333321</v>
      </c>
      <c r="L23" s="189">
        <f t="shared" si="9"/>
        <v>6122448.9795918372</v>
      </c>
      <c r="M23" s="189">
        <f t="shared" si="9"/>
        <v>1500000</v>
      </c>
      <c r="N23" s="189">
        <f t="shared" si="9"/>
        <v>4820000</v>
      </c>
    </row>
    <row r="24" spans="3:15" x14ac:dyDescent="0.2">
      <c r="D24" s="23"/>
      <c r="E24" s="117" t="s">
        <v>158</v>
      </c>
      <c r="F24" s="188">
        <f t="shared" si="8"/>
        <v>12</v>
      </c>
      <c r="G24" s="188"/>
      <c r="H24" s="189">
        <f>H11+H19</f>
        <v>4565753.4246575339</v>
      </c>
      <c r="I24" s="189">
        <f t="shared" ref="I24:N24" si="10">I11+I19</f>
        <v>3580645.1612903229</v>
      </c>
      <c r="J24" s="189">
        <f t="shared" si="10"/>
        <v>14227500</v>
      </c>
      <c r="K24" s="189">
        <f t="shared" si="10"/>
        <v>10493333.333333332</v>
      </c>
      <c r="L24" s="189">
        <f t="shared" si="10"/>
        <v>6122448.9795918372</v>
      </c>
      <c r="M24" s="189">
        <f t="shared" si="10"/>
        <v>1500000</v>
      </c>
      <c r="N24" s="189">
        <f t="shared" si="10"/>
        <v>6440000</v>
      </c>
    </row>
    <row r="25" spans="3:15" x14ac:dyDescent="0.2">
      <c r="D25" s="23"/>
      <c r="E25" s="3"/>
      <c r="F25" s="169"/>
      <c r="G25" s="169"/>
    </row>
    <row r="26" spans="3:15" x14ac:dyDescent="0.2">
      <c r="D26" s="23"/>
      <c r="F26" s="169"/>
      <c r="G26" s="169"/>
    </row>
    <row r="27" spans="3:15" x14ac:dyDescent="0.2">
      <c r="D27" s="23"/>
      <c r="F27" s="169"/>
      <c r="G27" s="169"/>
    </row>
    <row r="28" spans="3:15" x14ac:dyDescent="0.2">
      <c r="D28" s="23"/>
      <c r="H28" s="23"/>
      <c r="I28" s="23"/>
      <c r="J28" s="23"/>
      <c r="K28" s="23"/>
      <c r="L28" s="23"/>
      <c r="M28" s="23"/>
      <c r="N28" s="23"/>
    </row>
    <row r="29" spans="3:15" ht="26.25" customHeight="1" x14ac:dyDescent="0.2">
      <c r="D29" s="23"/>
      <c r="H29" s="131" t="s">
        <v>8</v>
      </c>
      <c r="I29" s="131" t="s">
        <v>50</v>
      </c>
      <c r="J29" s="131" t="s">
        <v>37</v>
      </c>
      <c r="K29" s="131" t="s">
        <v>51</v>
      </c>
      <c r="L29" s="131" t="s">
        <v>52</v>
      </c>
      <c r="M29" s="131" t="s">
        <v>79</v>
      </c>
      <c r="N29" s="131" t="s">
        <v>9</v>
      </c>
    </row>
    <row r="30" spans="3:15" ht="51" x14ac:dyDescent="0.2">
      <c r="C30" s="98" t="s">
        <v>107</v>
      </c>
      <c r="E30" s="134" t="s">
        <v>106</v>
      </c>
      <c r="H30" s="163" t="s">
        <v>32</v>
      </c>
      <c r="I30" s="136">
        <v>0.73</v>
      </c>
      <c r="J30" s="135" t="s">
        <v>33</v>
      </c>
      <c r="K30" s="136">
        <v>0.85</v>
      </c>
      <c r="L30" s="136" t="s">
        <v>34</v>
      </c>
      <c r="M30" s="135" t="s">
        <v>35</v>
      </c>
      <c r="N30" s="135" t="s">
        <v>36</v>
      </c>
      <c r="O30" s="114" t="s">
        <v>103</v>
      </c>
    </row>
    <row r="31" spans="3:15" x14ac:dyDescent="0.2">
      <c r="G31" s="23"/>
      <c r="H31" s="137"/>
      <c r="I31" s="137"/>
      <c r="J31" s="137"/>
      <c r="K31" s="137"/>
      <c r="L31" s="137"/>
      <c r="M31" s="137"/>
      <c r="N31" s="137"/>
    </row>
    <row r="32" spans="3:15" ht="15" x14ac:dyDescent="0.2">
      <c r="D32" s="25"/>
      <c r="E32" s="134" t="s">
        <v>108</v>
      </c>
      <c r="F32" s="134"/>
      <c r="G32" s="23"/>
      <c r="L32" s="23"/>
      <c r="M32" s="23"/>
      <c r="N32" s="23"/>
    </row>
    <row r="33" spans="1:14" ht="15" x14ac:dyDescent="0.2">
      <c r="D33" s="25"/>
      <c r="E33" s="134"/>
      <c r="F33" s="134"/>
      <c r="G33" s="23"/>
      <c r="L33" s="23"/>
      <c r="M33" s="23"/>
      <c r="N33" s="23"/>
    </row>
    <row r="34" spans="1:14" ht="15" x14ac:dyDescent="0.2">
      <c r="A34" s="23"/>
      <c r="B34" s="23"/>
      <c r="C34" s="23"/>
      <c r="D34" s="23"/>
      <c r="E34" s="134" t="s">
        <v>135</v>
      </c>
      <c r="F34" s="134"/>
      <c r="H34" s="138" t="s">
        <v>109</v>
      </c>
      <c r="I34" s="137"/>
      <c r="J34" s="137"/>
      <c r="K34" s="139"/>
    </row>
    <row r="35" spans="1:14" ht="15" customHeight="1" x14ac:dyDescent="0.2">
      <c r="A35" s="23"/>
      <c r="B35" s="23"/>
      <c r="C35" s="23"/>
      <c r="D35" s="23"/>
      <c r="H35" s="140" t="s">
        <v>110</v>
      </c>
      <c r="K35" s="141"/>
    </row>
    <row r="36" spans="1:14" x14ac:dyDescent="0.2">
      <c r="A36" s="24"/>
      <c r="B36" s="24"/>
      <c r="C36" s="23"/>
      <c r="D36" s="23"/>
      <c r="H36" s="142" t="s">
        <v>111</v>
      </c>
      <c r="I36" s="143"/>
      <c r="J36" s="143"/>
      <c r="K36" s="144"/>
    </row>
    <row r="37" spans="1:14" x14ac:dyDescent="0.2">
      <c r="A37" s="24"/>
      <c r="B37" s="24"/>
      <c r="C37" s="23"/>
      <c r="D37" s="23"/>
    </row>
    <row r="38" spans="1:14" ht="15" x14ac:dyDescent="0.2">
      <c r="A38" s="24"/>
      <c r="B38" s="24"/>
      <c r="C38" s="23"/>
      <c r="D38" s="23"/>
      <c r="E38" s="134" t="s">
        <v>138</v>
      </c>
      <c r="F38" s="134"/>
      <c r="H38" s="164" t="s">
        <v>139</v>
      </c>
      <c r="I38" s="165"/>
      <c r="J38" s="165"/>
      <c r="K38" s="166"/>
    </row>
    <row r="39" spans="1:14" x14ac:dyDescent="0.2">
      <c r="A39" s="24"/>
      <c r="B39" s="24"/>
      <c r="C39" s="23"/>
      <c r="D39" s="23"/>
      <c r="H39" s="167" t="s">
        <v>140</v>
      </c>
      <c r="K39" s="141"/>
    </row>
    <row r="40" spans="1:14" x14ac:dyDescent="0.2">
      <c r="A40" s="24"/>
      <c r="B40" s="24"/>
      <c r="C40" s="23"/>
      <c r="D40" s="23"/>
      <c r="H40" s="168" t="s">
        <v>141</v>
      </c>
      <c r="I40" s="143"/>
      <c r="J40" s="143"/>
      <c r="K40" s="144"/>
    </row>
    <row r="41" spans="1:14" x14ac:dyDescent="0.2">
      <c r="A41" s="24"/>
      <c r="B41" s="24"/>
      <c r="C41" s="23"/>
      <c r="D41" s="23"/>
    </row>
    <row r="42" spans="1:14" x14ac:dyDescent="0.2">
      <c r="A42" s="24"/>
      <c r="B42" s="24"/>
      <c r="C42" s="23"/>
      <c r="D42" s="23"/>
    </row>
  </sheetData>
  <sheetProtection password="C9E6" sheet="1" objects="1" scenarios="1" selectLockedCells="1"/>
  <protectedRanges>
    <protectedRange sqref="E7 H8:N8 H10:N10 G17:G19 F17:F19" name="Range1"/>
  </protectedRange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P23"/>
  <sheetViews>
    <sheetView topLeftCell="A4" workbookViewId="0">
      <selection activeCell="H14" sqref="H14"/>
    </sheetView>
  </sheetViews>
  <sheetFormatPr defaultRowHeight="12.75" x14ac:dyDescent="0.2"/>
  <cols>
    <col min="1" max="1" width="9.140625" style="4"/>
    <col min="2" max="2" width="54.28515625" style="4" customWidth="1"/>
    <col min="3" max="3" width="16.28515625" style="123" customWidth="1"/>
    <col min="4" max="4" width="11.42578125" style="4" customWidth="1"/>
    <col min="5" max="11" width="13.7109375" style="4" customWidth="1"/>
    <col min="12" max="16384" width="9.140625" style="4"/>
  </cols>
  <sheetData>
    <row r="2" spans="2:11" ht="21.95" customHeight="1" x14ac:dyDescent="0.35">
      <c r="B2" s="91" t="s">
        <v>77</v>
      </c>
    </row>
    <row r="3" spans="2:11" ht="21.95" customHeight="1" x14ac:dyDescent="0.35">
      <c r="B3" s="91" t="s">
        <v>78</v>
      </c>
    </row>
    <row r="4" spans="2:11" ht="21.95" customHeight="1" thickBot="1" x14ac:dyDescent="0.4">
      <c r="B4" s="91" t="s">
        <v>119</v>
      </c>
    </row>
    <row r="5" spans="2:11" ht="67.5" customHeight="1" thickBot="1" x14ac:dyDescent="0.35">
      <c r="B5" s="196" t="s">
        <v>156</v>
      </c>
      <c r="C5" s="197">
        <f>+Fuel!E7</f>
        <v>300000</v>
      </c>
      <c r="E5" s="92" t="str">
        <f>+Capital!D5</f>
        <v>Wood chip (dry)</v>
      </c>
      <c r="F5" s="92" t="str">
        <f>+Capital!E5</f>
        <v>Wood chip (wet)</v>
      </c>
      <c r="G5" s="94" t="str">
        <f>+Capital!F5</f>
        <v>Diesel, LFO</v>
      </c>
      <c r="H5" s="92" t="str">
        <f>+Capital!G5</f>
        <v xml:space="preserve"> LPG</v>
      </c>
      <c r="I5" s="92" t="str">
        <f>+Capital!H5</f>
        <v>Electricity (direct use)</v>
      </c>
      <c r="J5" s="92" t="str">
        <f>+Capital!I5</f>
        <v>Electricity (heat pump)</v>
      </c>
      <c r="K5" s="92" t="str">
        <f>+Capital!J5</f>
        <v>Coal</v>
      </c>
    </row>
    <row r="6" spans="2:11" ht="15.75" x14ac:dyDescent="0.2">
      <c r="B6" s="195" t="s">
        <v>93</v>
      </c>
    </row>
    <row r="7" spans="2:11" s="84" customFormat="1" ht="15" x14ac:dyDescent="0.2">
      <c r="B7" s="83" t="s">
        <v>54</v>
      </c>
      <c r="C7" s="190"/>
      <c r="E7" s="181">
        <f>Capital!D44</f>
        <v>6000000</v>
      </c>
      <c r="F7" s="181">
        <f>Capital!E44</f>
        <v>6000000</v>
      </c>
      <c r="G7" s="181">
        <f>Capital!F44</f>
        <v>1080000</v>
      </c>
      <c r="H7" s="181">
        <f>Capital!G44</f>
        <v>900000</v>
      </c>
      <c r="I7" s="181">
        <f>Capital!H44</f>
        <v>600000</v>
      </c>
      <c r="J7" s="181">
        <f>Capital!I44</f>
        <v>480000</v>
      </c>
      <c r="K7" s="181">
        <f>Capital!J44</f>
        <v>5400000</v>
      </c>
    </row>
    <row r="8" spans="2:11" s="84" customFormat="1" ht="15" x14ac:dyDescent="0.2">
      <c r="B8" s="84" t="s">
        <v>55</v>
      </c>
      <c r="C8" s="190"/>
      <c r="E8" s="182">
        <f>+'O&amp;M'!E19</f>
        <v>80000</v>
      </c>
      <c r="F8" s="182">
        <f>+'O&amp;M'!F19</f>
        <v>90000</v>
      </c>
      <c r="G8" s="182">
        <f>+'O&amp;M'!G19</f>
        <v>40000</v>
      </c>
      <c r="H8" s="182">
        <f>+'O&amp;M'!H19</f>
        <v>25000</v>
      </c>
      <c r="I8" s="182">
        <f>+'O&amp;M'!I19</f>
        <v>14000</v>
      </c>
      <c r="J8" s="182">
        <f>+'O&amp;M'!J19</f>
        <v>10000</v>
      </c>
      <c r="K8" s="182">
        <f>+'O&amp;M'!K19</f>
        <v>70000</v>
      </c>
    </row>
    <row r="9" spans="2:11" s="84" customFormat="1" ht="15" x14ac:dyDescent="0.2">
      <c r="B9" s="85" t="s">
        <v>155</v>
      </c>
      <c r="C9" s="190"/>
      <c r="E9" s="182">
        <f>Fuel!H11</f>
        <v>4565753.4246575339</v>
      </c>
      <c r="F9" s="182">
        <f>Fuel!I11</f>
        <v>3580645.1612903229</v>
      </c>
      <c r="G9" s="182">
        <f>Fuel!J11</f>
        <v>11347500</v>
      </c>
      <c r="H9" s="182">
        <f>Fuel!K11</f>
        <v>8333333.333333333</v>
      </c>
      <c r="I9" s="182">
        <f>Fuel!L11</f>
        <v>6122448.9795918372</v>
      </c>
      <c r="J9" s="182">
        <f>Fuel!M11</f>
        <v>1500000</v>
      </c>
      <c r="K9" s="182">
        <f>Fuel!N11</f>
        <v>3200000</v>
      </c>
    </row>
    <row r="10" spans="2:11" s="85" customFormat="1" ht="12.75" customHeight="1" x14ac:dyDescent="0.2">
      <c r="B10" s="85" t="s">
        <v>154</v>
      </c>
      <c r="C10" s="191">
        <f>Fuel!F17</f>
        <v>1</v>
      </c>
      <c r="E10" s="183">
        <f>Fuel!H17</f>
        <v>0</v>
      </c>
      <c r="F10" s="183">
        <f>Fuel!I17</f>
        <v>0</v>
      </c>
      <c r="G10" s="183">
        <f>Fuel!J17</f>
        <v>600000</v>
      </c>
      <c r="H10" s="183">
        <f>Fuel!K17</f>
        <v>450000</v>
      </c>
      <c r="I10" s="183">
        <f>Fuel!L17</f>
        <v>0</v>
      </c>
      <c r="J10" s="183">
        <f>Fuel!M17</f>
        <v>0</v>
      </c>
      <c r="K10" s="183">
        <f>Fuel!N17</f>
        <v>675000</v>
      </c>
    </row>
    <row r="11" spans="2:11" s="85" customFormat="1" ht="12.75" customHeight="1" x14ac:dyDescent="0.2">
      <c r="B11" s="85" t="s">
        <v>154</v>
      </c>
      <c r="C11" s="191">
        <f>Fuel!F18</f>
        <v>6</v>
      </c>
      <c r="E11" s="183">
        <f>Fuel!H18</f>
        <v>0</v>
      </c>
      <c r="F11" s="183">
        <f>Fuel!I18</f>
        <v>0</v>
      </c>
      <c r="G11" s="183">
        <f>Fuel!J18</f>
        <v>1440000</v>
      </c>
      <c r="H11" s="183">
        <f>Fuel!K18</f>
        <v>1080000</v>
      </c>
      <c r="I11" s="183">
        <f>Fuel!L18</f>
        <v>0</v>
      </c>
      <c r="J11" s="183">
        <f>Fuel!M18</f>
        <v>0</v>
      </c>
      <c r="K11" s="183">
        <f>Fuel!N18</f>
        <v>1620000</v>
      </c>
    </row>
    <row r="12" spans="2:11" s="85" customFormat="1" ht="12.75" customHeight="1" x14ac:dyDescent="0.2">
      <c r="B12" s="85" t="s">
        <v>154</v>
      </c>
      <c r="C12" s="191">
        <f>Fuel!F19</f>
        <v>12</v>
      </c>
      <c r="E12" s="183">
        <f>Fuel!H19</f>
        <v>0</v>
      </c>
      <c r="F12" s="183">
        <f>Fuel!I19</f>
        <v>0</v>
      </c>
      <c r="G12" s="183">
        <f>Fuel!J19</f>
        <v>2880000</v>
      </c>
      <c r="H12" s="183">
        <f>Fuel!K19</f>
        <v>2160000</v>
      </c>
      <c r="I12" s="183">
        <f>Fuel!L19</f>
        <v>0</v>
      </c>
      <c r="J12" s="183">
        <f>Fuel!M19</f>
        <v>0</v>
      </c>
      <c r="K12" s="183">
        <f>Fuel!N19</f>
        <v>3240000</v>
      </c>
    </row>
    <row r="13" spans="2:11" s="88" customFormat="1" ht="18" customHeight="1" x14ac:dyDescent="0.25">
      <c r="B13" s="87" t="s">
        <v>145</v>
      </c>
      <c r="C13" s="192"/>
      <c r="E13" s="279">
        <v>0.02</v>
      </c>
      <c r="F13" s="279">
        <v>0.02</v>
      </c>
      <c r="G13" s="279">
        <v>0.02</v>
      </c>
      <c r="H13" s="279">
        <v>0.02</v>
      </c>
      <c r="I13" s="279">
        <v>0.05</v>
      </c>
      <c r="J13" s="279">
        <v>0.05</v>
      </c>
      <c r="K13" s="279">
        <v>0.1</v>
      </c>
    </row>
    <row r="14" spans="2:11" s="88" customFormat="1" ht="18" customHeight="1" x14ac:dyDescent="0.25">
      <c r="B14" s="89" t="s">
        <v>73</v>
      </c>
      <c r="C14" s="192"/>
      <c r="E14" s="280">
        <v>0.25</v>
      </c>
      <c r="F14" s="280">
        <v>0.25</v>
      </c>
      <c r="G14" s="280">
        <v>0</v>
      </c>
      <c r="H14" s="280">
        <v>0.35</v>
      </c>
      <c r="I14" s="280">
        <v>0.35</v>
      </c>
      <c r="J14" s="280">
        <v>0.25</v>
      </c>
      <c r="K14" s="280">
        <v>0.25</v>
      </c>
    </row>
    <row r="15" spans="2:11" s="88" customFormat="1" ht="18" customHeight="1" x14ac:dyDescent="0.25">
      <c r="B15" s="87" t="s">
        <v>94</v>
      </c>
      <c r="C15" s="192" t="s">
        <v>161</v>
      </c>
      <c r="E15" s="281"/>
      <c r="F15" s="281"/>
      <c r="G15" s="281"/>
      <c r="H15" s="281"/>
      <c r="I15" s="281"/>
      <c r="J15" s="281"/>
      <c r="K15" s="281"/>
    </row>
    <row r="16" spans="2:11" s="88" customFormat="1" ht="18" customHeight="1" x14ac:dyDescent="0.25">
      <c r="B16" s="87" t="s">
        <v>165</v>
      </c>
      <c r="C16" s="192" t="s">
        <v>164</v>
      </c>
      <c r="E16" s="281"/>
      <c r="F16" s="281"/>
      <c r="G16" s="281"/>
      <c r="H16" s="281"/>
      <c r="I16" s="281"/>
      <c r="J16" s="281"/>
      <c r="K16" s="281"/>
    </row>
    <row r="17" spans="2:16" s="88" customFormat="1" ht="18" customHeight="1" x14ac:dyDescent="0.25">
      <c r="B17" s="176"/>
      <c r="C17" s="192"/>
      <c r="E17" s="4"/>
      <c r="F17" s="4"/>
      <c r="G17" s="4"/>
      <c r="H17" s="4"/>
      <c r="I17" s="4"/>
      <c r="J17" s="4"/>
      <c r="K17" s="4"/>
    </row>
    <row r="18" spans="2:16" s="84" customFormat="1" ht="15.75" x14ac:dyDescent="0.2">
      <c r="B18" s="86" t="s">
        <v>58</v>
      </c>
      <c r="C18" s="190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2:16" s="84" customFormat="1" ht="15.75" x14ac:dyDescent="0.25">
      <c r="B19" s="124" t="s">
        <v>121</v>
      </c>
      <c r="C19" s="282">
        <v>6.8000000000000005E-2</v>
      </c>
      <c r="I19" s="4"/>
    </row>
    <row r="20" spans="2:16" s="84" customFormat="1" ht="15.75" x14ac:dyDescent="0.25">
      <c r="B20" s="124" t="s">
        <v>92</v>
      </c>
      <c r="C20" s="283">
        <v>20</v>
      </c>
    </row>
    <row r="23" spans="2:16" x14ac:dyDescent="0.2">
      <c r="D23" s="114" t="s">
        <v>103</v>
      </c>
    </row>
  </sheetData>
  <sheetProtection sheet="1" objects="1" scenarios="1" selectLockedCells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B2:Q30"/>
  <sheetViews>
    <sheetView topLeftCell="F4" workbookViewId="0">
      <selection activeCell="I21" sqref="I21"/>
    </sheetView>
  </sheetViews>
  <sheetFormatPr defaultRowHeight="12.75" x14ac:dyDescent="0.2"/>
  <cols>
    <col min="1" max="1" width="4" customWidth="1"/>
    <col min="3" max="3" width="26" customWidth="1"/>
    <col min="4" max="11" width="15.7109375" customWidth="1"/>
  </cols>
  <sheetData>
    <row r="2" spans="2:8" ht="23.1" customHeight="1" x14ac:dyDescent="0.35">
      <c r="B2" s="91" t="str">
        <f>'Option 7'!B2</f>
        <v>BANZ Technical Guide 14</v>
      </c>
      <c r="C2" s="91"/>
      <c r="D2" s="91"/>
      <c r="E2" s="91"/>
      <c r="F2" s="91"/>
      <c r="G2" s="91"/>
      <c r="H2" s="91"/>
    </row>
    <row r="3" spans="2:8" ht="23.1" customHeight="1" x14ac:dyDescent="0.35">
      <c r="B3" s="91" t="str">
        <f>'Option 7'!B3</f>
        <v>Lifecycle analysis of heat plants</v>
      </c>
      <c r="C3" s="91"/>
      <c r="D3" s="91"/>
      <c r="E3" s="91"/>
      <c r="F3" s="91"/>
      <c r="G3" s="91"/>
      <c r="H3" s="91"/>
    </row>
    <row r="4" spans="2:8" ht="23.1" customHeight="1" x14ac:dyDescent="0.35">
      <c r="C4" s="91" t="s">
        <v>114</v>
      </c>
      <c r="D4" s="91"/>
      <c r="E4" s="91" t="s">
        <v>157</v>
      </c>
      <c r="F4" s="91"/>
      <c r="G4" s="287">
        <f>Inputs!C5</f>
        <v>300000</v>
      </c>
      <c r="H4" s="91" t="s">
        <v>4</v>
      </c>
    </row>
    <row r="5" spans="2:8" ht="20.100000000000001" customHeight="1" thickBot="1" x14ac:dyDescent="0.25">
      <c r="G5" s="29"/>
      <c r="H5" s="29"/>
    </row>
    <row r="6" spans="2:8" ht="34.5" customHeight="1" x14ac:dyDescent="0.2">
      <c r="C6" s="301" t="s">
        <v>63</v>
      </c>
      <c r="D6" s="306" t="s">
        <v>128</v>
      </c>
      <c r="E6" s="306" t="s">
        <v>112</v>
      </c>
      <c r="F6" s="308" t="s">
        <v>113</v>
      </c>
      <c r="G6" s="310" t="s">
        <v>137</v>
      </c>
    </row>
    <row r="7" spans="2:8" ht="15.75" customHeight="1" x14ac:dyDescent="0.2">
      <c r="C7" s="302"/>
      <c r="D7" s="307"/>
      <c r="E7" s="307"/>
      <c r="F7" s="309"/>
      <c r="G7" s="311"/>
    </row>
    <row r="8" spans="2:8" ht="15.75" x14ac:dyDescent="0.25">
      <c r="C8" s="31" t="str">
        <f>+'O&amp;M'!E6</f>
        <v>Wood chip (dry)</v>
      </c>
      <c r="D8" s="145">
        <f>+'Option 1'!D20</f>
        <v>4645753.4246575339</v>
      </c>
      <c r="E8" s="145">
        <f>+'Option 1'!G6</f>
        <v>-63659947.600716449</v>
      </c>
      <c r="F8" s="179">
        <f>'Option 1'!G8</f>
        <v>19.719873012970265</v>
      </c>
      <c r="G8" s="177">
        <f>+F8*0.0036</f>
        <v>7.0991542846692957E-2</v>
      </c>
    </row>
    <row r="9" spans="2:8" ht="15.75" x14ac:dyDescent="0.25">
      <c r="C9" s="31" t="str">
        <f>+Capital!E5</f>
        <v>Wood chip (wet)</v>
      </c>
      <c r="D9" s="145">
        <f>+'Option 2'!D20</f>
        <v>3670645.1612903229</v>
      </c>
      <c r="E9" s="145">
        <f>+'Option 2'!G6</f>
        <v>-51425743.04381308</v>
      </c>
      <c r="F9" s="179">
        <f>'Option 2'!G8</f>
        <v>15.930096719247375</v>
      </c>
      <c r="G9" s="177">
        <f t="shared" ref="G9:G14" si="0">+F9*0.0036</f>
        <v>5.7348348189290549E-2</v>
      </c>
    </row>
    <row r="10" spans="2:8" ht="15.75" x14ac:dyDescent="0.25">
      <c r="C10" s="31" t="str">
        <f>+Capital!F5</f>
        <v>Diesel, LFO</v>
      </c>
      <c r="D10" s="145">
        <f>+'Option 3'!D20</f>
        <v>11987500</v>
      </c>
      <c r="E10" s="145">
        <f>+'Option 3'!G6</f>
        <v>-160225467.65756023</v>
      </c>
      <c r="F10" s="179">
        <f>'Option 3'!G8</f>
        <v>49.632869562954255</v>
      </c>
      <c r="G10" s="177">
        <f t="shared" si="0"/>
        <v>0.17867833042663531</v>
      </c>
    </row>
    <row r="11" spans="2:8" ht="15.75" x14ac:dyDescent="0.25">
      <c r="C11" s="31" t="str">
        <f>+Capital!G5</f>
        <v xml:space="preserve"> LPG</v>
      </c>
      <c r="D11" s="145">
        <f>+'Option 4'!D20</f>
        <v>8808333.3333333321</v>
      </c>
      <c r="E11" s="145">
        <f>+'Option 4'!G6</f>
        <v>-117953939.07484601</v>
      </c>
      <c r="F11" s="179">
        <f>'Option 4'!G8</f>
        <v>36.538463941641965</v>
      </c>
      <c r="G11" s="177">
        <f t="shared" si="0"/>
        <v>0.13153847018991108</v>
      </c>
    </row>
    <row r="12" spans="2:8" ht="15.75" x14ac:dyDescent="0.25">
      <c r="C12" s="31" t="str">
        <f>+Capital!H5</f>
        <v>Electricity (direct use)</v>
      </c>
      <c r="D12" s="145">
        <f>+'Option 5'!D20</f>
        <v>6136448.9795918372</v>
      </c>
      <c r="E12" s="145">
        <f>+'Option 5'!G6</f>
        <v>-98719882.600941658</v>
      </c>
      <c r="F12" s="179">
        <f>'Option 5'!G8</f>
        <v>30.58035110170265</v>
      </c>
      <c r="G12" s="177">
        <f t="shared" si="0"/>
        <v>0.11008926396612954</v>
      </c>
    </row>
    <row r="13" spans="2:8" ht="15.75" x14ac:dyDescent="0.25">
      <c r="C13" s="31" t="str">
        <f>+Capital!I5</f>
        <v>Electricity (heat pump)</v>
      </c>
      <c r="D13" s="145">
        <f>+'Option 6'!D20</f>
        <v>1510000</v>
      </c>
      <c r="E13" s="145">
        <f>+'Option 6'!G6</f>
        <v>-24762771.595467877</v>
      </c>
      <c r="F13" s="179">
        <f>'Option 6'!G8</f>
        <v>7.6707369345418366</v>
      </c>
      <c r="G13" s="177">
        <f t="shared" si="0"/>
        <v>2.761465296435061E-2</v>
      </c>
    </row>
    <row r="14" spans="2:8" ht="16.5" thickBot="1" x14ac:dyDescent="0.3">
      <c r="C14" s="32" t="str">
        <f>+Capital!J5</f>
        <v>Coal</v>
      </c>
      <c r="D14" s="158">
        <f>'Option 7'!D20</f>
        <v>3945000</v>
      </c>
      <c r="E14" s="158">
        <f>'Option 7'!G6</f>
        <v>-104970280.74066851</v>
      </c>
      <c r="F14" s="180">
        <f>'Option 7'!G8</f>
        <v>32.516530163127641</v>
      </c>
      <c r="G14" s="178">
        <f t="shared" si="0"/>
        <v>0.1170595085872595</v>
      </c>
    </row>
    <row r="15" spans="2:8" ht="15" x14ac:dyDescent="0.2">
      <c r="D15" s="190" t="s">
        <v>120</v>
      </c>
    </row>
    <row r="16" spans="2:8" ht="15" x14ac:dyDescent="0.2">
      <c r="D16" s="190" t="s">
        <v>136</v>
      </c>
      <c r="E16" s="4"/>
    </row>
    <row r="19" spans="3:17" x14ac:dyDescent="0.2">
      <c r="I19" s="114"/>
    </row>
    <row r="20" spans="3:17" ht="13.5" thickBot="1" x14ac:dyDescent="0.25"/>
    <row r="21" spans="3:17" ht="18.75" thickBot="1" x14ac:dyDescent="0.3">
      <c r="C21" s="170" t="s">
        <v>65</v>
      </c>
      <c r="D21" s="297" t="s">
        <v>163</v>
      </c>
      <c r="E21" s="298"/>
      <c r="F21" s="298"/>
      <c r="G21" s="298"/>
      <c r="H21" s="298"/>
      <c r="I21" s="289">
        <f>Inputs!C5</f>
        <v>300000</v>
      </c>
      <c r="J21" s="299" t="s">
        <v>4</v>
      </c>
      <c r="K21" s="300"/>
      <c r="L21" s="114"/>
      <c r="P21" s="4"/>
    </row>
    <row r="22" spans="3:17" ht="15" x14ac:dyDescent="0.25">
      <c r="C22" s="80"/>
      <c r="D22" s="303" t="s">
        <v>2</v>
      </c>
      <c r="E22" s="304"/>
      <c r="F22" s="303" t="s">
        <v>45</v>
      </c>
      <c r="G22" s="304"/>
      <c r="H22" s="303" t="s">
        <v>3</v>
      </c>
      <c r="I22" s="305"/>
      <c r="J22" s="295" t="s">
        <v>142</v>
      </c>
      <c r="K22" s="296"/>
      <c r="P22" s="4"/>
    </row>
    <row r="23" spans="3:17" ht="15" x14ac:dyDescent="0.25">
      <c r="C23" s="81"/>
      <c r="D23" s="74" t="s">
        <v>71</v>
      </c>
      <c r="E23" s="75" t="s">
        <v>72</v>
      </c>
      <c r="F23" s="74" t="s">
        <v>71</v>
      </c>
      <c r="G23" s="75" t="s">
        <v>72</v>
      </c>
      <c r="H23" s="74" t="s">
        <v>71</v>
      </c>
      <c r="I23" s="173" t="s">
        <v>72</v>
      </c>
      <c r="J23" s="74" t="s">
        <v>71</v>
      </c>
      <c r="K23" s="75" t="s">
        <v>143</v>
      </c>
      <c r="Q23" s="4"/>
    </row>
    <row r="24" spans="3:17" x14ac:dyDescent="0.2">
      <c r="C24" s="81" t="s">
        <v>8</v>
      </c>
      <c r="D24" s="76">
        <f>'Option 1'!F31</f>
        <v>20.091595713151975</v>
      </c>
      <c r="E24" s="77">
        <f>'Option 1'!F30</f>
        <v>19.534011662879411</v>
      </c>
      <c r="F24" s="76">
        <f>'Option 1'!F36</f>
        <v>21.137412710620033</v>
      </c>
      <c r="G24" s="77">
        <f>'Option 1'!F35</f>
        <v>17.947948390908042</v>
      </c>
      <c r="H24" s="76">
        <f>'Option 1'!F41</f>
        <v>19.741206346303596</v>
      </c>
      <c r="I24" s="171">
        <f>'Option 1'!F40</f>
        <v>19.693206346303601</v>
      </c>
      <c r="J24" s="76">
        <f>+'Option 1'!I33</f>
        <v>19.386435214245587</v>
      </c>
      <c r="K24" s="76">
        <f>+'Option 1'!J33</f>
        <v>20.220029711057283</v>
      </c>
    </row>
    <row r="25" spans="3:17" x14ac:dyDescent="0.2">
      <c r="C25" s="81" t="s">
        <v>50</v>
      </c>
      <c r="D25" s="76">
        <f>'Option 2'!F31</f>
        <v>19.11611606309685</v>
      </c>
      <c r="E25" s="77">
        <f>'Option 2'!F30</f>
        <v>14.337087047322639</v>
      </c>
      <c r="F25" s="76">
        <f>'Option 2'!F36</f>
        <v>17.041787646732647</v>
      </c>
      <c r="G25" s="77">
        <f>'Option 2'!F35</f>
        <v>14.540483059890773</v>
      </c>
      <c r="H25" s="76">
        <f>'Option 2'!F41</f>
        <v>15.990096719247369</v>
      </c>
      <c r="I25" s="171">
        <f>'Option 2'!F40</f>
        <v>15.900096719247369</v>
      </c>
      <c r="J25" s="199">
        <f>+'Option 2'!I33</f>
        <v>15.59110336496714</v>
      </c>
      <c r="K25" s="200">
        <f>+'Option 2'!J33</f>
        <v>16.438586750667728</v>
      </c>
      <c r="Q25" s="4"/>
    </row>
    <row r="26" spans="3:17" x14ac:dyDescent="0.2">
      <c r="C26" s="81" t="s">
        <v>37</v>
      </c>
      <c r="D26" s="76">
        <f>'Option 3'!F31</f>
        <v>49.659633597367339</v>
      </c>
      <c r="E26" s="77">
        <f>'Option 3'!F30</f>
        <v>49.599414519937902</v>
      </c>
      <c r="F26" s="76">
        <f>'Option 3'!F36</f>
        <v>58.465028639069232</v>
      </c>
      <c r="G26" s="77">
        <f>'Option 3'!F35</f>
        <v>47.324702496200004</v>
      </c>
      <c r="H26" s="76">
        <f>'Option 3'!F41</f>
        <v>49.859536229620922</v>
      </c>
      <c r="I26" s="171">
        <f>'Option 4'!F40</f>
        <v>36.530130608308639</v>
      </c>
      <c r="J26" s="199">
        <f>+'Option 3'!I33</f>
        <v>49.558628536961592</v>
      </c>
      <c r="K26" s="200">
        <f>+'Option 3'!J33</f>
        <v>49.744231101943257</v>
      </c>
    </row>
    <row r="27" spans="3:17" x14ac:dyDescent="0.2">
      <c r="C27" s="81" t="s">
        <v>51</v>
      </c>
      <c r="D27" s="76">
        <f>'Option 4'!F31</f>
        <v>36.560767303652867</v>
      </c>
      <c r="E27" s="77">
        <f>'Option 4'!F30</f>
        <v>36.510584739128333</v>
      </c>
      <c r="F27" s="76">
        <f>'Option 4'!F36</f>
        <v>43.1075391076659</v>
      </c>
      <c r="G27" s="77">
        <f>'Option 4'!F35</f>
        <v>34.876143817904136</v>
      </c>
      <c r="H27" s="76">
        <f>'Option 4'!F41</f>
        <v>36.545130608308639</v>
      </c>
      <c r="I27" s="171">
        <f>'Option 4'!F40</f>
        <v>36.530130608308639</v>
      </c>
      <c r="J27" s="199">
        <f>+'Option 4'!I33</f>
        <v>36.482472583363318</v>
      </c>
      <c r="K27" s="200">
        <f>+'Option 4'!J33</f>
        <v>36.622450979059941</v>
      </c>
      <c r="Q27" s="4"/>
    </row>
    <row r="28" spans="3:17" x14ac:dyDescent="0.2">
      <c r="C28" s="81" t="s">
        <v>52</v>
      </c>
      <c r="D28" s="76">
        <f>'Option 5'!F31</f>
        <v>30.595220009709919</v>
      </c>
      <c r="E28" s="77">
        <f>'Option 5'!F30</f>
        <v>30.561764966693566</v>
      </c>
      <c r="F28" s="76">
        <f>'Option 5'!F36</f>
        <v>33.009573066300817</v>
      </c>
      <c r="G28" s="77">
        <f>'Option 5'!F35</f>
        <v>27.543823645954959</v>
      </c>
      <c r="H28" s="76">
        <f>'Option 5'!F41</f>
        <v>30.584084435035983</v>
      </c>
      <c r="I28" s="171">
        <f>'Option 5'!F40</f>
        <v>30.575684435035981</v>
      </c>
      <c r="J28" s="199">
        <f>+'Option 5'!I33</f>
        <v>30.544505010998364</v>
      </c>
      <c r="K28" s="200">
        <f>+'Option 5'!J33</f>
        <v>30.634120237759081</v>
      </c>
    </row>
    <row r="29" spans="3:17" x14ac:dyDescent="0.2">
      <c r="C29" s="81" t="s">
        <v>53</v>
      </c>
      <c r="D29" s="76">
        <f>'Option 6'!F31</f>
        <v>7.6826320609476513</v>
      </c>
      <c r="E29" s="77">
        <f>'Option 6'!F30</f>
        <v>7.6558680265345682</v>
      </c>
      <c r="F29" s="76">
        <f>'Option 6'!F36</f>
        <v>6.9267877078836548</v>
      </c>
      <c r="G29" s="77">
        <f>'Option 6'!F35</f>
        <v>7.6707369345418366</v>
      </c>
      <c r="H29" s="76">
        <f>'Option 6'!F41</f>
        <v>7.6674036012085054</v>
      </c>
      <c r="I29" s="171">
        <f>'Option 6'!F40</f>
        <v>7.6707369345418366</v>
      </c>
      <c r="J29" s="199">
        <f>+'Option 6'!I32</f>
        <v>7.6321961565485053</v>
      </c>
      <c r="K29" s="200">
        <f>+'Option 6'!J32</f>
        <v>7.7285481015318336</v>
      </c>
    </row>
    <row r="30" spans="3:17" ht="13.5" thickBot="1" x14ac:dyDescent="0.25">
      <c r="C30" s="82" t="s">
        <v>9</v>
      </c>
      <c r="D30" s="78">
        <f>'Option 7'!F31</f>
        <v>32.641375292176704</v>
      </c>
      <c r="E30" s="79">
        <f>'Option 7'!F30</f>
        <v>32.360473751816308</v>
      </c>
      <c r="F30" s="78">
        <f>'Option 7'!F36</f>
        <v>46.500784320055374</v>
      </c>
      <c r="G30" s="79">
        <f>'Option 7'!F35</f>
        <v>34.756348029487924</v>
      </c>
      <c r="H30" s="78">
        <f>'Option 7'!F41</f>
        <v>32.535196829794302</v>
      </c>
      <c r="I30" s="172">
        <f>'Option 7'!F40</f>
        <v>32.4931968297943</v>
      </c>
      <c r="J30" s="201">
        <f>+'Option 7'!I33</f>
        <v>32.217547255386535</v>
      </c>
      <c r="K30" s="202">
        <f>+'Option 7'!J33</f>
        <v>32.965004524739285</v>
      </c>
    </row>
  </sheetData>
  <sheetProtection sheet="1" objects="1" scenarios="1" selectLockedCells="1" selectUnlockedCells="1"/>
  <mergeCells count="11">
    <mergeCell ref="J22:K22"/>
    <mergeCell ref="D21:H21"/>
    <mergeCell ref="J21:K21"/>
    <mergeCell ref="C6:C7"/>
    <mergeCell ref="D22:E22"/>
    <mergeCell ref="F22:G22"/>
    <mergeCell ref="H22:I22"/>
    <mergeCell ref="D6:D7"/>
    <mergeCell ref="E6:E7"/>
    <mergeCell ref="F6:F7"/>
    <mergeCell ref="G6:G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2">
    <tabColor indexed="28"/>
    <pageSetUpPr fitToPage="1"/>
  </sheetPr>
  <dimension ref="B2:AB45"/>
  <sheetViews>
    <sheetView zoomScaleNormal="100" workbookViewId="0">
      <selection activeCell="D16" sqref="D16"/>
    </sheetView>
  </sheetViews>
  <sheetFormatPr defaultRowHeight="12.75" x14ac:dyDescent="0.2"/>
  <cols>
    <col min="1" max="1" width="4" customWidth="1"/>
    <col min="2" max="2" width="42.7109375" customWidth="1"/>
    <col min="3" max="3" width="17.85546875" customWidth="1"/>
    <col min="4" max="5" width="14.7109375" customWidth="1"/>
    <col min="6" max="6" width="19" customWidth="1"/>
    <col min="7" max="7" width="19.85546875" bestFit="1" customWidth="1"/>
    <col min="8" max="18" width="14.7109375" customWidth="1"/>
    <col min="19" max="23" width="15.140625" bestFit="1" customWidth="1"/>
    <col min="24" max="27" width="14.42578125" customWidth="1"/>
    <col min="28" max="28" width="15.7109375" bestFit="1" customWidth="1"/>
  </cols>
  <sheetData>
    <row r="2" spans="2:28" s="1" customFormat="1" ht="21.95" customHeight="1" x14ac:dyDescent="0.35">
      <c r="B2" s="91" t="s">
        <v>77</v>
      </c>
      <c r="D2" s="2"/>
    </row>
    <row r="3" spans="2:28" s="1" customFormat="1" ht="21.95" customHeight="1" x14ac:dyDescent="0.35">
      <c r="B3" s="91" t="s">
        <v>78</v>
      </c>
      <c r="C3" s="5"/>
      <c r="D3" s="313"/>
      <c r="E3" s="313"/>
      <c r="F3" s="314"/>
      <c r="G3" s="314"/>
    </row>
    <row r="4" spans="2:28" ht="21.95" customHeight="1" x14ac:dyDescent="0.35">
      <c r="B4" s="96" t="s">
        <v>80</v>
      </c>
      <c r="C4" s="91" t="str">
        <f>+Capital!D5</f>
        <v>Wood chip (dry)</v>
      </c>
      <c r="D4" s="6"/>
    </row>
    <row r="5" spans="2:28" x14ac:dyDescent="0.2">
      <c r="B5" s="110"/>
      <c r="C5" s="111"/>
      <c r="D5" s="6"/>
    </row>
    <row r="6" spans="2:28" x14ac:dyDescent="0.2">
      <c r="B6" s="4"/>
      <c r="C6" s="67"/>
      <c r="D6" s="7"/>
      <c r="E6" s="44" t="s">
        <v>61</v>
      </c>
      <c r="F6" s="46"/>
      <c r="G6" s="230">
        <f>-(NPV(Inputs!C19,D20:AB20)+(C20))</f>
        <v>-63659947.600716449</v>
      </c>
    </row>
    <row r="7" spans="2:28" x14ac:dyDescent="0.2">
      <c r="B7" s="6"/>
      <c r="C7" s="67"/>
      <c r="D7" s="7"/>
      <c r="E7" s="44" t="s">
        <v>60</v>
      </c>
      <c r="F7" s="45"/>
      <c r="G7" s="231">
        <f>NPV(Inputs!C19,D22:AB22)+C22</f>
        <v>3228212.8570932313</v>
      </c>
    </row>
    <row r="8" spans="2:28" x14ac:dyDescent="0.2">
      <c r="B8" s="6"/>
      <c r="C8" s="67"/>
      <c r="D8" s="7"/>
      <c r="E8" s="312" t="s">
        <v>57</v>
      </c>
      <c r="F8" s="312"/>
      <c r="G8" s="232">
        <f>-G6/G7</f>
        <v>19.719873012970265</v>
      </c>
    </row>
    <row r="9" spans="2:28" ht="15" customHeight="1" x14ac:dyDescent="0.2">
      <c r="B9" s="63"/>
      <c r="C9" s="8"/>
      <c r="D9" s="7"/>
    </row>
    <row r="10" spans="2:28" ht="15" customHeight="1" x14ac:dyDescent="0.2">
      <c r="B10" s="10" t="s">
        <v>0</v>
      </c>
      <c r="C10" s="11">
        <v>0</v>
      </c>
      <c r="D10" s="11">
        <v>1</v>
      </c>
      <c r="E10" s="11">
        <v>2</v>
      </c>
      <c r="F10" s="11">
        <v>3</v>
      </c>
      <c r="G10" s="11">
        <v>4</v>
      </c>
      <c r="H10" s="11">
        <v>5</v>
      </c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11">
        <v>11</v>
      </c>
      <c r="O10" s="11">
        <v>12</v>
      </c>
      <c r="P10" s="11">
        <v>13</v>
      </c>
      <c r="Q10" s="11">
        <v>14</v>
      </c>
      <c r="R10" s="11">
        <v>15</v>
      </c>
      <c r="S10" s="11">
        <v>16</v>
      </c>
      <c r="T10" s="11">
        <v>17</v>
      </c>
      <c r="U10" s="11">
        <v>18</v>
      </c>
      <c r="V10" s="11">
        <v>19</v>
      </c>
      <c r="W10" s="11">
        <v>20</v>
      </c>
      <c r="X10" s="11">
        <v>21</v>
      </c>
      <c r="Y10" s="11">
        <v>22</v>
      </c>
      <c r="Z10" s="11">
        <v>23</v>
      </c>
      <c r="AA10" s="11">
        <v>24</v>
      </c>
      <c r="AB10" s="11">
        <v>25</v>
      </c>
    </row>
    <row r="11" spans="2:28" s="4" customFormat="1" ht="15" customHeight="1" x14ac:dyDescent="0.2">
      <c r="B11" s="13" t="s">
        <v>6</v>
      </c>
      <c r="C11" s="14"/>
      <c r="D11" s="15">
        <f>IF(D10&gt;Inputs!$C$20,0,1)</f>
        <v>1</v>
      </c>
      <c r="E11" s="15">
        <f>IF(E10&gt;Inputs!$C$20,0,1)</f>
        <v>1</v>
      </c>
      <c r="F11" s="15">
        <f>IF(F10&gt;Inputs!$C$20,0,1)</f>
        <v>1</v>
      </c>
      <c r="G11" s="15">
        <f>IF(G10&gt;Inputs!$C$20,0,1)</f>
        <v>1</v>
      </c>
      <c r="H11" s="15">
        <f>IF(H10&gt;Inputs!$C$20,0,1)</f>
        <v>1</v>
      </c>
      <c r="I11" s="15">
        <f>IF(I10&gt;Inputs!$C$20,0,1)</f>
        <v>1</v>
      </c>
      <c r="J11" s="15">
        <f>IF(J10&gt;Inputs!$C$20,0,1)</f>
        <v>1</v>
      </c>
      <c r="K11" s="15">
        <f>IF(K10&gt;Inputs!$C$20,0,1)</f>
        <v>1</v>
      </c>
      <c r="L11" s="15">
        <f>IF(L10&gt;Inputs!$C$20,0,1)</f>
        <v>1</v>
      </c>
      <c r="M11" s="15">
        <f>IF(M10&gt;Inputs!$C$20,0,1)</f>
        <v>1</v>
      </c>
      <c r="N11" s="15">
        <f>IF(N10&gt;Inputs!$C$20,0,1)</f>
        <v>1</v>
      </c>
      <c r="O11" s="15">
        <f>IF(O10&gt;Inputs!$C$20,0,1)</f>
        <v>1</v>
      </c>
      <c r="P11" s="15">
        <f>IF(P10&gt;Inputs!$C$20,0,1)</f>
        <v>1</v>
      </c>
      <c r="Q11" s="15">
        <f>IF(Q10&gt;Inputs!$C$20,0,1)</f>
        <v>1</v>
      </c>
      <c r="R11" s="15">
        <f>IF(R10&gt;Inputs!$C$20,0,1)</f>
        <v>1</v>
      </c>
      <c r="S11" s="15">
        <f>IF(S10&gt;Inputs!$C$20,0,1)</f>
        <v>1</v>
      </c>
      <c r="T11" s="15">
        <f>IF(T10&gt;Inputs!$C$20,0,1)</f>
        <v>1</v>
      </c>
      <c r="U11" s="15">
        <f>IF(U10&gt;Inputs!$C$20,0,1)</f>
        <v>1</v>
      </c>
      <c r="V11" s="15">
        <f>IF(V10&gt;Inputs!$C$20,0,1)</f>
        <v>1</v>
      </c>
      <c r="W11" s="15">
        <f>IF(W10&gt;Inputs!$C$20,0,1)</f>
        <v>1</v>
      </c>
      <c r="X11" s="15">
        <f>IF(X10&gt;Inputs!$C$20,0,1)</f>
        <v>0</v>
      </c>
      <c r="Y11" s="15">
        <f>IF(Y10&gt;Inputs!$C$20,0,1)</f>
        <v>0</v>
      </c>
      <c r="Z11" s="15">
        <f>IF(Z10&gt;Inputs!$C$20,0,1)</f>
        <v>0</v>
      </c>
      <c r="AA11" s="15">
        <f>IF(AA10&gt;Inputs!$C$20,0,1)</f>
        <v>0</v>
      </c>
      <c r="AB11" s="15">
        <f>IF(AB10&gt;Inputs!$C$20,0,1)</f>
        <v>0</v>
      </c>
    </row>
    <row r="12" spans="2:28" ht="15" customHeight="1" x14ac:dyDescent="0.2">
      <c r="B12" s="10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2:28" ht="15" customHeight="1" x14ac:dyDescent="0.2">
      <c r="B13" s="107" t="s">
        <v>59</v>
      </c>
      <c r="C13" s="105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2:28" ht="13.5" customHeight="1" x14ac:dyDescent="0.2">
      <c r="B14" s="108" t="s">
        <v>5</v>
      </c>
      <c r="C14" s="104">
        <f>Inputs!E7</f>
        <v>6000000</v>
      </c>
      <c r="D14" s="22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2:28" ht="13.5" customHeight="1" x14ac:dyDescent="0.2">
      <c r="B15" s="108" t="s">
        <v>49</v>
      </c>
      <c r="C15" s="103"/>
      <c r="D15" s="21">
        <f>-IF(Inputs!$C$20=D10,Inputs!$E$14*'Option 1'!$C$14)</f>
        <v>0</v>
      </c>
      <c r="E15" s="21">
        <f>-IF(Inputs!$C$20=E10,Inputs!$E$14*'Option 1'!$C$14)</f>
        <v>0</v>
      </c>
      <c r="F15" s="21">
        <f>-IF(Inputs!$C$20=F10,Inputs!$E$14*'Option 1'!$C$14)</f>
        <v>0</v>
      </c>
      <c r="G15" s="21">
        <f>-IF(Inputs!$C$20=G10,Inputs!$E$14*'Option 1'!$C$14)</f>
        <v>0</v>
      </c>
      <c r="H15" s="21">
        <f>-IF(Inputs!$C$20=H10,Inputs!$E$14*'Option 1'!$C$14)</f>
        <v>0</v>
      </c>
      <c r="I15" s="21">
        <f>-IF(Inputs!$C$20=I10,Inputs!$E$14*'Option 1'!$C$14)</f>
        <v>0</v>
      </c>
      <c r="J15" s="21">
        <f>-IF(Inputs!$C$20=J10,Inputs!$E$14*'Option 1'!$C$14)</f>
        <v>0</v>
      </c>
      <c r="K15" s="21">
        <f>-IF(Inputs!$C$20=K10,Inputs!$E$14*'Option 1'!$C$14)</f>
        <v>0</v>
      </c>
      <c r="L15" s="21">
        <f>-IF(Inputs!$C$20=L10,Inputs!$E$14*'Option 1'!$C$14)</f>
        <v>0</v>
      </c>
      <c r="M15" s="21">
        <f>-IF(Inputs!$C$20=M10,Inputs!$E$14*'Option 1'!$C$14)</f>
        <v>0</v>
      </c>
      <c r="N15" s="21">
        <f>-IF(Inputs!$C$20=N10,Inputs!$E$14*'Option 1'!$C$14)</f>
        <v>0</v>
      </c>
      <c r="O15" s="21">
        <f>-IF(Inputs!$C$20=O10,Inputs!$E$14*'Option 1'!$C$14)</f>
        <v>0</v>
      </c>
      <c r="P15" s="21">
        <f>-IF(Inputs!$C$20=P10,Inputs!$E$14*'Option 1'!$C$14)</f>
        <v>0</v>
      </c>
      <c r="Q15" s="21">
        <f>-IF(Inputs!$C$20=Q10,Inputs!$E$14*'Option 1'!$C$14)</f>
        <v>0</v>
      </c>
      <c r="R15" s="21">
        <f>-IF(Inputs!$C$20=R10,Inputs!$E$14*'Option 1'!$C$14)</f>
        <v>0</v>
      </c>
      <c r="S15" s="21">
        <f>-IF(Inputs!$C$20=S10,Inputs!$E$14*'Option 1'!$C$14)</f>
        <v>0</v>
      </c>
      <c r="T15" s="21">
        <f>-IF(Inputs!$C$20=T10,Inputs!$E$14*'Option 1'!$C$14)</f>
        <v>0</v>
      </c>
      <c r="U15" s="21">
        <f>-IF(Inputs!$C$20=U10,Inputs!$E$14*'Option 1'!$C$14)</f>
        <v>0</v>
      </c>
      <c r="V15" s="21">
        <f>-IF(Inputs!$C$20=V10,Inputs!$E$14*'Option 1'!$C$14)</f>
        <v>0</v>
      </c>
      <c r="W15" s="21">
        <f>-IF(Inputs!$C$20=W10,Inputs!$E$14*'Option 1'!$C$14)</f>
        <v>-1500000</v>
      </c>
      <c r="X15" s="21">
        <f>-IF(Inputs!$C$20=X10,Inputs!$E$14*'Option 1'!$C$14)</f>
        <v>0</v>
      </c>
      <c r="Y15" s="21">
        <f>-IF(Inputs!$C$20=Y10,Inputs!$E$14*'Option 1'!$C$14)</f>
        <v>0</v>
      </c>
      <c r="Z15" s="21">
        <f>-IF(Inputs!$C$20=Z10,Inputs!$E$14*'Option 1'!$C$14)</f>
        <v>0</v>
      </c>
      <c r="AA15" s="21">
        <f>-IF(Inputs!$C$20=AA10,Inputs!$E$14*'Option 1'!$C$14)</f>
        <v>0</v>
      </c>
      <c r="AB15" s="21">
        <f>-IF(Inputs!$C$20=AB10,Inputs!$E$14*'Option 1'!$C$14)</f>
        <v>0</v>
      </c>
    </row>
    <row r="16" spans="2:28" ht="13.5" customHeight="1" x14ac:dyDescent="0.2">
      <c r="B16" s="108" t="s">
        <v>45</v>
      </c>
      <c r="C16" s="103"/>
      <c r="D16" s="21">
        <f>Inputs!E9</f>
        <v>4565753.4246575339</v>
      </c>
      <c r="E16" s="21">
        <f>E$11*D16*((Inputs!$E$13)+1)</f>
        <v>4657068.493150685</v>
      </c>
      <c r="F16" s="21">
        <f>F$11*E16*((Inputs!$E$13)+1)</f>
        <v>4750209.8630136987</v>
      </c>
      <c r="G16" s="21">
        <f>G$11*F16*((Inputs!$E$13)+1)</f>
        <v>4845214.0602739723</v>
      </c>
      <c r="H16" s="21">
        <f>H$11*G16*((Inputs!$E$13)+1)</f>
        <v>4942118.3414794523</v>
      </c>
      <c r="I16" s="21">
        <f>I$11*H16*((Inputs!$E$13)+1)</f>
        <v>5040960.7083090413</v>
      </c>
      <c r="J16" s="21">
        <f>J$11*I16*((Inputs!$E$13)+1)</f>
        <v>5141779.9224752225</v>
      </c>
      <c r="K16" s="21">
        <f>K$11*J16*((Inputs!$E$13)+1)</f>
        <v>5244615.5209247274</v>
      </c>
      <c r="L16" s="21">
        <f>L$11*K16*((Inputs!$E$13)+1)</f>
        <v>5349507.8313432224</v>
      </c>
      <c r="M16" s="21">
        <f>M$11*L16*((Inputs!$E$13)+1)</f>
        <v>5456497.9879700867</v>
      </c>
      <c r="N16" s="21">
        <f>N$11*M16*((Inputs!$E$13)+1)</f>
        <v>5565627.9477294888</v>
      </c>
      <c r="O16" s="21">
        <f>O$11*N16*((Inputs!$E$13)+1)</f>
        <v>5676940.5066840788</v>
      </c>
      <c r="P16" s="21">
        <f>P$11*O16*((Inputs!$E$13)+1)</f>
        <v>5790479.3168177605</v>
      </c>
      <c r="Q16" s="21">
        <f>Q$11*P16*((Inputs!$E$13)+1)</f>
        <v>5906288.9031541161</v>
      </c>
      <c r="R16" s="21">
        <f>R$11*Q16*((Inputs!$E$13)+1)</f>
        <v>6024414.6812171983</v>
      </c>
      <c r="S16" s="21">
        <f>S$11*R16*((Inputs!$E$13)+1)</f>
        <v>6144902.9748415425</v>
      </c>
      <c r="T16" s="21">
        <f>T$11*S16*((Inputs!$E$13)+1)</f>
        <v>6267801.0343383737</v>
      </c>
      <c r="U16" s="21">
        <f>U$11*T16*((Inputs!$E$13)+1)</f>
        <v>6393157.0550251417</v>
      </c>
      <c r="V16" s="21">
        <f>V$11*U16*((Inputs!$E$13)+1)</f>
        <v>6521020.1961256443</v>
      </c>
      <c r="W16" s="21">
        <f>W$11*V16*((Inputs!$E$13)+1)</f>
        <v>6651440.6000481574</v>
      </c>
      <c r="X16" s="21">
        <f>X$11*W16*((Inputs!$E$13)+1)</f>
        <v>0</v>
      </c>
      <c r="Y16" s="21">
        <f>Y$11*X16*((Inputs!$E$13)+1)</f>
        <v>0</v>
      </c>
      <c r="Z16" s="21">
        <f>Z$11*Y16*((Inputs!$E$13)+1)</f>
        <v>0</v>
      </c>
      <c r="AA16" s="21">
        <f>AA$11*Z16*((Inputs!$E$13)+1)</f>
        <v>0</v>
      </c>
      <c r="AB16" s="21">
        <f>AB$11*AA16*((Inputs!$E$13)+1)</f>
        <v>0</v>
      </c>
    </row>
    <row r="17" spans="2:28" ht="13.5" customHeight="1" x14ac:dyDescent="0.2">
      <c r="B17" s="194" t="s">
        <v>144</v>
      </c>
      <c r="C17" s="103"/>
      <c r="D17" s="21">
        <f>IF(AND(D10&gt;=Inputs!$C$10,D10&lt;Inputs!$C$11),Inputs!$F$10,IF(AND(D10&gt;=Inputs!$C$11,D10&lt;Inputs!$C$12),Inputs!$F$11,IF(AND(D10&gt;Inputs!$C$11,D10&lt;=Inputs!$C$20),Inputs!$F$12,)))</f>
        <v>0</v>
      </c>
      <c r="E17" s="21">
        <f>IF(AND(E10&gt;=Inputs!$C$10,E10&lt;Inputs!$C$11),Inputs!$F$10,IF(AND(E10&gt;=Inputs!$C$11,E10&lt;Inputs!$C$12),Inputs!$F$11,IF(AND(E10&gt;Inputs!$C$11,E10&lt;=Inputs!$C$20),Inputs!$F$12,)))</f>
        <v>0</v>
      </c>
      <c r="F17" s="21">
        <f>IF(AND(F10&gt;=Inputs!$C$10,F10&lt;Inputs!$C$11),Inputs!$F$10,IF(AND(F10&gt;=Inputs!$C$11,F10&lt;Inputs!$C$12),Inputs!$F$11,IF(AND(F10&gt;Inputs!$C$11,F10&lt;=Inputs!$C$20),Inputs!$F$12,)))</f>
        <v>0</v>
      </c>
      <c r="G17" s="21">
        <f>IF(AND(G10&gt;=Inputs!$C$10,G10&lt;Inputs!$C$11),Inputs!$F$10,IF(AND(G10&gt;=Inputs!$C$11,G10&lt;Inputs!$C$12),Inputs!$F$11,IF(AND(G10&gt;Inputs!$C$11,G10&lt;=Inputs!$C$20),Inputs!$F$12,)))</f>
        <v>0</v>
      </c>
      <c r="H17" s="21">
        <f>IF(AND(H10&gt;=Inputs!$C$10,H10&lt;Inputs!$C$11),Inputs!$F$10,IF(AND(H10&gt;=Inputs!$C$11,H10&lt;Inputs!$C$12),Inputs!$F$11,IF(AND(H10&gt;Inputs!$C$11,H10&lt;=Inputs!$C$20),Inputs!$F$12,)))</f>
        <v>0</v>
      </c>
      <c r="I17" s="21">
        <f>IF(AND(I10&gt;=Inputs!$C$10,I10&lt;Inputs!$C$11),Inputs!$F$10,IF(AND(I10&gt;=Inputs!$C$11,I10&lt;Inputs!$C$12),Inputs!$F$11,IF(AND(I10&gt;Inputs!$C$11,I10&lt;=Inputs!$C$20),Inputs!$F$12,)))</f>
        <v>0</v>
      </c>
      <c r="J17" s="21">
        <f>IF(AND(J10&gt;=Inputs!$C$10,J10&lt;Inputs!$C$11),Inputs!$F$10,IF(AND(J10&gt;=Inputs!$C$11,J10&lt;Inputs!$C$12),Inputs!$F$11,IF(AND(J10&gt;Inputs!$C$11,J10&lt;=Inputs!$C$20),Inputs!$F$12,)))</f>
        <v>0</v>
      </c>
      <c r="K17" s="21">
        <f>IF(AND(K10&gt;=Inputs!$C$10,K10&lt;Inputs!$C$11),Inputs!$F$10,IF(AND(K10&gt;=Inputs!$C$11,K10&lt;Inputs!$C$12),Inputs!$F$11,IF(AND(K10&gt;Inputs!$C$11,K10&lt;=Inputs!$C$20),Inputs!$F$12,)))</f>
        <v>0</v>
      </c>
      <c r="L17" s="21">
        <f>IF(AND(L10&gt;=Inputs!$C$10,L10&lt;Inputs!$C$11),Inputs!$F$10,IF(AND(L10&gt;=Inputs!$C$11,L10&lt;Inputs!$C$12),Inputs!$F$11,IF(AND(L10&gt;Inputs!$C$11,L10&lt;=Inputs!$C$20),Inputs!$F$12,)))</f>
        <v>0</v>
      </c>
      <c r="M17" s="21">
        <f>IF(AND(M10&gt;=Inputs!$C$10,M10&lt;Inputs!$C$11),Inputs!$F$10,IF(AND(M10&gt;=Inputs!$C$11,M10&lt;Inputs!$C$12),Inputs!$F$11,IF(AND(M10&gt;Inputs!$C$11,M10&lt;=Inputs!$C$20),Inputs!$F$12,)))</f>
        <v>0</v>
      </c>
      <c r="N17" s="21">
        <f>IF(AND(N10&gt;=Inputs!$C$10,N10&lt;Inputs!$C$11),Inputs!$F$10,IF(AND(N10&gt;=Inputs!$C$11,N10&lt;Inputs!$C$12),Inputs!$F$11,IF(AND(N10&gt;Inputs!$C$11,N10&lt;=Inputs!$C$20),Inputs!$F$12,)))</f>
        <v>0</v>
      </c>
      <c r="O17" s="21">
        <f>IF(AND(O10&gt;=Inputs!$C$10,O10&lt;Inputs!$C$11),Inputs!$F$10,IF(AND(O10&gt;=Inputs!$C$11,O10&lt;Inputs!$C$12),Inputs!$F$11,IF(AND(O10&gt;Inputs!$C$11,O10&lt;=Inputs!$C$20),Inputs!$F$12,)))</f>
        <v>0</v>
      </c>
      <c r="P17" s="21">
        <f>IF(AND(P10&gt;=Inputs!$C$10,P10&lt;Inputs!$C$11),Inputs!$F$10,IF(AND(P10&gt;=Inputs!$C$11,P10&lt;Inputs!$C$12),Inputs!$F$11,IF(AND(P10&gt;Inputs!$C$11,P10&lt;=Inputs!$C$20),Inputs!$F$12,)))</f>
        <v>0</v>
      </c>
      <c r="Q17" s="21">
        <f>IF(AND(Q10&gt;=Inputs!$C$10,Q10&lt;Inputs!$C$11),Inputs!$F$10,IF(AND(Q10&gt;=Inputs!$C$11,Q10&lt;Inputs!$C$12),Inputs!$F$11,IF(AND(Q10&gt;Inputs!$C$11,Q10&lt;=Inputs!$C$20),Inputs!$F$12,)))</f>
        <v>0</v>
      </c>
      <c r="R17" s="21">
        <f>IF(AND(R10&gt;=Inputs!$C$10,R10&lt;Inputs!$C$11),Inputs!$F$10,IF(AND(R10&gt;=Inputs!$C$11,R10&lt;Inputs!$C$12),Inputs!$F$11,IF(AND(R10&gt;Inputs!$C$11,R10&lt;=Inputs!$C$20),Inputs!$F$12,)))</f>
        <v>0</v>
      </c>
      <c r="S17" s="21">
        <f>IF(AND(S10&gt;=Inputs!$C$10,S10&lt;Inputs!$C$11),Inputs!$F$10,IF(AND(S10&gt;=Inputs!$C$11,S10&lt;Inputs!$C$12),Inputs!$F$11,IF(AND(S10&gt;Inputs!$C$11,S10&lt;=Inputs!$C$20),Inputs!$F$12,)))</f>
        <v>0</v>
      </c>
      <c r="T17" s="21">
        <f>IF(AND(T10&gt;=Inputs!$C$10,T10&lt;Inputs!$C$11),Inputs!$F$10,IF(AND(T10&gt;=Inputs!$C$11,T10&lt;Inputs!$C$12),Inputs!$F$11,IF(AND(T10&gt;Inputs!$C$11,T10&lt;=Inputs!$C$20),Inputs!$F$12,)))</f>
        <v>0</v>
      </c>
      <c r="U17" s="21">
        <f>IF(AND(U10&gt;=Inputs!$C$10,U10&lt;Inputs!$C$11),Inputs!$F$10,IF(AND(U10&gt;=Inputs!$C$11,U10&lt;Inputs!$C$12),Inputs!$F$11,IF(AND(U10&gt;Inputs!$C$11,U10&lt;=Inputs!$C$20),Inputs!$F$12,)))</f>
        <v>0</v>
      </c>
      <c r="V17" s="21">
        <f>IF(AND(V10&gt;=Inputs!$C$10,V10&lt;Inputs!$C$11),Inputs!$F$10,IF(AND(V10&gt;=Inputs!$C$11,V10&lt;Inputs!$C$12),Inputs!$F$11,IF(AND(V10&gt;Inputs!$C$11,V10&lt;=Inputs!$C$20),Inputs!$F$12,)))</f>
        <v>0</v>
      </c>
      <c r="W17" s="21">
        <f>IF(AND(W10&gt;=Inputs!$C$10,W10&lt;Inputs!$C$11),Inputs!$F$10,IF(AND(W10&gt;=Inputs!$C$11,W10&lt;Inputs!$C$12),Inputs!$F$11,IF(AND(W10&gt;Inputs!$C$11,W10&lt;=Inputs!$C$20),Inputs!$F$12,)))</f>
        <v>0</v>
      </c>
      <c r="X17" s="21">
        <f>IF(AND(X10&gt;=Inputs!$C$10,X10&lt;Inputs!$C$11),Inputs!$F$10,IF(AND(X10&gt;=Inputs!$C$11,X10&lt;Inputs!$C$12),Inputs!$F$11,IF(AND(X10&gt;Inputs!$C$11,X10&lt;=Inputs!$C$20),Inputs!$F$12,)))</f>
        <v>0</v>
      </c>
      <c r="Y17" s="21">
        <f>IF(AND(Y10&gt;=Inputs!$C$10,Y10&lt;Inputs!$C$11),Inputs!$F$10,IF(AND(Y10&gt;=Inputs!$C$11,Y10&lt;Inputs!$C$12),Inputs!$F$11,IF(AND(Y10&gt;Inputs!$C$11,Y10&lt;=Inputs!$C$20),Inputs!$F$12,)))</f>
        <v>0</v>
      </c>
      <c r="Z17" s="21">
        <f>IF(AND(Z10&gt;=Inputs!$C$10,Z10&lt;Inputs!$C$11),Inputs!$F$10,IF(AND(Z10&gt;=Inputs!$C$11,Z10&lt;Inputs!$C$12),Inputs!$F$11,IF(AND(Z10&gt;Inputs!$C$11,Z10&lt;=Inputs!$C$20),Inputs!$F$12,)))</f>
        <v>0</v>
      </c>
      <c r="AA17" s="21">
        <f>IF(AND(AA10&gt;=Inputs!$C$10,AA10&lt;Inputs!$C$11),Inputs!$F$10,IF(AND(AA10&gt;=Inputs!$C$11,AA10&lt;Inputs!$C$12),Inputs!$F$11,IF(AND(AA10&gt;Inputs!$C$11,AA10&lt;=Inputs!$C$20),Inputs!$F$12,)))</f>
        <v>0</v>
      </c>
      <c r="AB17" s="21">
        <f>IF(AND(AB10&gt;=Inputs!$C$10,AB10&lt;Inputs!$C$11),Inputs!$F$10,IF(AND(AB10&gt;=Inputs!$C$11,AB10&lt;Inputs!$C$12),Inputs!$F$11,IF(AND(AB10&gt;Inputs!$C$11,AB10&lt;=Inputs!$C$20),Inputs!$F$12,)))</f>
        <v>0</v>
      </c>
    </row>
    <row r="18" spans="2:28" ht="13.5" customHeight="1" x14ac:dyDescent="0.2">
      <c r="B18" s="108" t="s">
        <v>3</v>
      </c>
      <c r="C18" s="103"/>
      <c r="D18" s="21">
        <f>Inputs!E8</f>
        <v>80000</v>
      </c>
      <c r="E18" s="21">
        <f t="shared" ref="E18:AB18" si="0">E$11*D18</f>
        <v>80000</v>
      </c>
      <c r="F18" s="21">
        <f t="shared" si="0"/>
        <v>80000</v>
      </c>
      <c r="G18" s="21">
        <f t="shared" si="0"/>
        <v>80000</v>
      </c>
      <c r="H18" s="21">
        <f t="shared" si="0"/>
        <v>80000</v>
      </c>
      <c r="I18" s="21">
        <f t="shared" si="0"/>
        <v>80000</v>
      </c>
      <c r="J18" s="21">
        <f t="shared" si="0"/>
        <v>80000</v>
      </c>
      <c r="K18" s="21">
        <f t="shared" si="0"/>
        <v>80000</v>
      </c>
      <c r="L18" s="21">
        <f t="shared" si="0"/>
        <v>80000</v>
      </c>
      <c r="M18" s="21">
        <f t="shared" si="0"/>
        <v>80000</v>
      </c>
      <c r="N18" s="21">
        <f t="shared" si="0"/>
        <v>80000</v>
      </c>
      <c r="O18" s="21">
        <f t="shared" si="0"/>
        <v>80000</v>
      </c>
      <c r="P18" s="21">
        <f t="shared" si="0"/>
        <v>80000</v>
      </c>
      <c r="Q18" s="21">
        <f t="shared" si="0"/>
        <v>80000</v>
      </c>
      <c r="R18" s="21">
        <f t="shared" si="0"/>
        <v>80000</v>
      </c>
      <c r="S18" s="21">
        <f t="shared" si="0"/>
        <v>80000</v>
      </c>
      <c r="T18" s="21">
        <f t="shared" si="0"/>
        <v>80000</v>
      </c>
      <c r="U18" s="21">
        <f t="shared" si="0"/>
        <v>80000</v>
      </c>
      <c r="V18" s="21">
        <f t="shared" si="0"/>
        <v>80000</v>
      </c>
      <c r="W18" s="21">
        <f t="shared" si="0"/>
        <v>80000</v>
      </c>
      <c r="X18" s="21">
        <f t="shared" si="0"/>
        <v>0</v>
      </c>
      <c r="Y18" s="21">
        <f t="shared" si="0"/>
        <v>0</v>
      </c>
      <c r="Z18" s="21">
        <f t="shared" si="0"/>
        <v>0</v>
      </c>
      <c r="AA18" s="21">
        <f t="shared" si="0"/>
        <v>0</v>
      </c>
      <c r="AB18" s="21">
        <f t="shared" si="0"/>
        <v>0</v>
      </c>
    </row>
    <row r="19" spans="2:28" s="3" customFormat="1" ht="13.5" customHeight="1" x14ac:dyDescent="0.2">
      <c r="B19" s="108" t="s">
        <v>74</v>
      </c>
      <c r="C19" s="62"/>
      <c r="D19" s="212">
        <f>Inputs!E15+Inputs!E16</f>
        <v>0</v>
      </c>
      <c r="E19" s="212">
        <f>+Inputs!E15</f>
        <v>0</v>
      </c>
      <c r="F19" s="152">
        <f>'Option 1'!F$11*E19</f>
        <v>0</v>
      </c>
      <c r="G19" s="152">
        <f>'Option 1'!G$11*F19</f>
        <v>0</v>
      </c>
      <c r="H19" s="152">
        <f>'Option 1'!H$11*G19</f>
        <v>0</v>
      </c>
      <c r="I19" s="152">
        <f>'Option 1'!I$11*H19</f>
        <v>0</v>
      </c>
      <c r="J19" s="152">
        <f>'Option 1'!J$11*I19</f>
        <v>0</v>
      </c>
      <c r="K19" s="152">
        <f>'Option 1'!K$11*J19</f>
        <v>0</v>
      </c>
      <c r="L19" s="152">
        <f>'Option 1'!L$11*K19</f>
        <v>0</v>
      </c>
      <c r="M19" s="152">
        <f>'Option 1'!M$11*L19</f>
        <v>0</v>
      </c>
      <c r="N19" s="152">
        <f>'Option 1'!N$11*M19</f>
        <v>0</v>
      </c>
      <c r="O19" s="152">
        <f>'Option 1'!O$11*N19</f>
        <v>0</v>
      </c>
      <c r="P19" s="152">
        <f>'Option 1'!P$11*O19</f>
        <v>0</v>
      </c>
      <c r="Q19" s="152">
        <f>'Option 1'!Q$11*P19</f>
        <v>0</v>
      </c>
      <c r="R19" s="152">
        <f>'Option 1'!R$11*Q19</f>
        <v>0</v>
      </c>
      <c r="S19" s="152">
        <f>'Option 1'!S$11*R19</f>
        <v>0</v>
      </c>
      <c r="T19" s="152">
        <f>'Option 1'!T$11*S19</f>
        <v>0</v>
      </c>
      <c r="U19" s="152">
        <f>'Option 1'!U$11*T19</f>
        <v>0</v>
      </c>
      <c r="V19" s="152">
        <f>'Option 1'!V$11*U19</f>
        <v>0</v>
      </c>
      <c r="W19" s="152">
        <f>'Option 1'!W$11*V19</f>
        <v>0</v>
      </c>
      <c r="X19" s="152">
        <f>'Option 1'!X$11*W19</f>
        <v>0</v>
      </c>
      <c r="Y19" s="152">
        <f>'Option 1'!Y$11*X19</f>
        <v>0</v>
      </c>
      <c r="Z19" s="152">
        <f>'Option 1'!Z$11*Y19</f>
        <v>0</v>
      </c>
      <c r="AA19" s="152">
        <f>'Option 1'!AA$11*Z19</f>
        <v>0</v>
      </c>
      <c r="AB19" s="152">
        <f>'Option 1'!AB$11*AA19</f>
        <v>0</v>
      </c>
    </row>
    <row r="20" spans="2:28" s="3" customFormat="1" ht="13.5" customHeight="1" thickBot="1" x14ac:dyDescent="0.25">
      <c r="B20" s="112" t="s">
        <v>46</v>
      </c>
      <c r="C20" s="154">
        <f>SUM(C14:C19)</f>
        <v>6000000</v>
      </c>
      <c r="D20" s="153">
        <f>SUM(D14:D19)</f>
        <v>4645753.4246575339</v>
      </c>
      <c r="E20" s="153">
        <f t="shared" ref="E20:AB20" si="1">SUM(E14:E19)</f>
        <v>4737068.493150685</v>
      </c>
      <c r="F20" s="153">
        <f t="shared" si="1"/>
        <v>4830209.8630136987</v>
      </c>
      <c r="G20" s="153">
        <f t="shared" si="1"/>
        <v>4925214.0602739723</v>
      </c>
      <c r="H20" s="153">
        <f t="shared" si="1"/>
        <v>5022118.3414794523</v>
      </c>
      <c r="I20" s="153">
        <f t="shared" si="1"/>
        <v>5120960.7083090413</v>
      </c>
      <c r="J20" s="153">
        <f t="shared" si="1"/>
        <v>5221779.9224752225</v>
      </c>
      <c r="K20" s="153">
        <f t="shared" si="1"/>
        <v>5324615.5209247274</v>
      </c>
      <c r="L20" s="153">
        <f t="shared" si="1"/>
        <v>5429507.8313432224</v>
      </c>
      <c r="M20" s="153">
        <f t="shared" si="1"/>
        <v>5536497.9879700867</v>
      </c>
      <c r="N20" s="153">
        <f t="shared" si="1"/>
        <v>5645627.9477294888</v>
      </c>
      <c r="O20" s="153">
        <f t="shared" si="1"/>
        <v>5756940.5066840788</v>
      </c>
      <c r="P20" s="153">
        <f t="shared" si="1"/>
        <v>5870479.3168177605</v>
      </c>
      <c r="Q20" s="153">
        <f t="shared" si="1"/>
        <v>5986288.9031541161</v>
      </c>
      <c r="R20" s="153">
        <f t="shared" si="1"/>
        <v>6104414.6812171983</v>
      </c>
      <c r="S20" s="153">
        <f t="shared" si="1"/>
        <v>6224902.9748415425</v>
      </c>
      <c r="T20" s="153">
        <f t="shared" si="1"/>
        <v>6347801.0343383737</v>
      </c>
      <c r="U20" s="153">
        <f t="shared" si="1"/>
        <v>6473157.0550251417</v>
      </c>
      <c r="V20" s="153">
        <f t="shared" si="1"/>
        <v>6601020.1961256443</v>
      </c>
      <c r="W20" s="153">
        <f t="shared" si="1"/>
        <v>5231440.6000481574</v>
      </c>
      <c r="X20" s="153">
        <f t="shared" si="1"/>
        <v>0</v>
      </c>
      <c r="Y20" s="153">
        <f t="shared" si="1"/>
        <v>0</v>
      </c>
      <c r="Z20" s="153">
        <f t="shared" si="1"/>
        <v>0</v>
      </c>
      <c r="AA20" s="153">
        <f t="shared" si="1"/>
        <v>0</v>
      </c>
      <c r="AB20" s="153">
        <f t="shared" si="1"/>
        <v>0</v>
      </c>
    </row>
    <row r="21" spans="2:28" s="3" customFormat="1" ht="13.5" customHeight="1" thickTop="1" x14ac:dyDescent="0.2">
      <c r="B21" s="63"/>
      <c r="C21" s="62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</row>
    <row r="22" spans="2:28" ht="15" x14ac:dyDescent="0.25">
      <c r="B22" s="219" t="s">
        <v>62</v>
      </c>
      <c r="D22" s="146">
        <f>Fuel!E7</f>
        <v>300000</v>
      </c>
      <c r="E22" s="147">
        <f>E$11*D22</f>
        <v>300000</v>
      </c>
      <c r="F22" s="147">
        <f t="shared" ref="F22:AB22" si="2">F$11*E22</f>
        <v>300000</v>
      </c>
      <c r="G22" s="147">
        <f t="shared" si="2"/>
        <v>300000</v>
      </c>
      <c r="H22" s="147">
        <f t="shared" si="2"/>
        <v>300000</v>
      </c>
      <c r="I22" s="147">
        <f t="shared" si="2"/>
        <v>300000</v>
      </c>
      <c r="J22" s="147">
        <f t="shared" si="2"/>
        <v>300000</v>
      </c>
      <c r="K22" s="147">
        <f t="shared" si="2"/>
        <v>300000</v>
      </c>
      <c r="L22" s="147">
        <f t="shared" si="2"/>
        <v>300000</v>
      </c>
      <c r="M22" s="147">
        <f t="shared" si="2"/>
        <v>300000</v>
      </c>
      <c r="N22" s="147">
        <f t="shared" si="2"/>
        <v>300000</v>
      </c>
      <c r="O22" s="147">
        <f t="shared" si="2"/>
        <v>300000</v>
      </c>
      <c r="P22" s="147">
        <f t="shared" si="2"/>
        <v>300000</v>
      </c>
      <c r="Q22" s="147">
        <f t="shared" si="2"/>
        <v>300000</v>
      </c>
      <c r="R22" s="147">
        <f t="shared" si="2"/>
        <v>300000</v>
      </c>
      <c r="S22" s="147">
        <f t="shared" si="2"/>
        <v>300000</v>
      </c>
      <c r="T22" s="147">
        <f t="shared" si="2"/>
        <v>300000</v>
      </c>
      <c r="U22" s="147">
        <f t="shared" si="2"/>
        <v>300000</v>
      </c>
      <c r="V22" s="147">
        <f t="shared" si="2"/>
        <v>300000</v>
      </c>
      <c r="W22" s="147">
        <f t="shared" si="2"/>
        <v>300000</v>
      </c>
      <c r="X22" s="147">
        <f t="shared" si="2"/>
        <v>0</v>
      </c>
      <c r="Y22" s="147">
        <f t="shared" si="2"/>
        <v>0</v>
      </c>
      <c r="Z22" s="147">
        <f t="shared" si="2"/>
        <v>0</v>
      </c>
      <c r="AA22" s="147">
        <f t="shared" si="2"/>
        <v>0</v>
      </c>
      <c r="AB22" s="148">
        <f t="shared" si="2"/>
        <v>0</v>
      </c>
    </row>
    <row r="24" spans="2:28" ht="15" x14ac:dyDescent="0.25">
      <c r="B24" s="219" t="s">
        <v>162</v>
      </c>
      <c r="C24" s="218">
        <f>+C16+C17</f>
        <v>0</v>
      </c>
      <c r="D24" s="220">
        <f t="shared" ref="D24:AB24" si="3">+D16+D17</f>
        <v>4565753.4246575339</v>
      </c>
      <c r="E24" s="221">
        <f t="shared" si="3"/>
        <v>4657068.493150685</v>
      </c>
      <c r="F24" s="221">
        <f t="shared" si="3"/>
        <v>4750209.8630136987</v>
      </c>
      <c r="G24" s="221">
        <f t="shared" si="3"/>
        <v>4845214.0602739723</v>
      </c>
      <c r="H24" s="221">
        <f t="shared" si="3"/>
        <v>4942118.3414794523</v>
      </c>
      <c r="I24" s="221">
        <f t="shared" si="3"/>
        <v>5040960.7083090413</v>
      </c>
      <c r="J24" s="221">
        <f t="shared" si="3"/>
        <v>5141779.9224752225</v>
      </c>
      <c r="K24" s="221">
        <f t="shared" si="3"/>
        <v>5244615.5209247274</v>
      </c>
      <c r="L24" s="221">
        <f t="shared" si="3"/>
        <v>5349507.8313432224</v>
      </c>
      <c r="M24" s="221">
        <f t="shared" si="3"/>
        <v>5456497.9879700867</v>
      </c>
      <c r="N24" s="221">
        <f t="shared" si="3"/>
        <v>5565627.9477294888</v>
      </c>
      <c r="O24" s="221">
        <f t="shared" si="3"/>
        <v>5676940.5066840788</v>
      </c>
      <c r="P24" s="221">
        <f t="shared" si="3"/>
        <v>5790479.3168177605</v>
      </c>
      <c r="Q24" s="221">
        <f t="shared" si="3"/>
        <v>5906288.9031541161</v>
      </c>
      <c r="R24" s="221">
        <f t="shared" si="3"/>
        <v>6024414.6812171983</v>
      </c>
      <c r="S24" s="221">
        <f t="shared" si="3"/>
        <v>6144902.9748415425</v>
      </c>
      <c r="T24" s="221">
        <f t="shared" si="3"/>
        <v>6267801.0343383737</v>
      </c>
      <c r="U24" s="221">
        <f t="shared" si="3"/>
        <v>6393157.0550251417</v>
      </c>
      <c r="V24" s="221">
        <f t="shared" si="3"/>
        <v>6521020.1961256443</v>
      </c>
      <c r="W24" s="221">
        <f t="shared" si="3"/>
        <v>6651440.6000481574</v>
      </c>
      <c r="X24" s="221">
        <f t="shared" si="3"/>
        <v>0</v>
      </c>
      <c r="Y24" s="221">
        <f t="shared" si="3"/>
        <v>0</v>
      </c>
      <c r="Z24" s="221">
        <f t="shared" si="3"/>
        <v>0</v>
      </c>
      <c r="AA24" s="221">
        <f t="shared" si="3"/>
        <v>0</v>
      </c>
      <c r="AB24" s="222">
        <f t="shared" si="3"/>
        <v>0</v>
      </c>
    </row>
    <row r="25" spans="2:28" x14ac:dyDescent="0.2">
      <c r="C25" s="159"/>
    </row>
    <row r="26" spans="2:28" ht="20.25" hidden="1" x14ac:dyDescent="0.3">
      <c r="B26" s="37" t="s">
        <v>70</v>
      </c>
      <c r="C26" s="37"/>
      <c r="D26" s="211"/>
      <c r="E26" s="205"/>
      <c r="F26" s="211"/>
      <c r="G26" s="205"/>
      <c r="H26" s="205"/>
    </row>
    <row r="27" spans="2:28" hidden="1" x14ac:dyDescent="0.2">
      <c r="G27" s="40"/>
    </row>
    <row r="28" spans="2:28" hidden="1" x14ac:dyDescent="0.2">
      <c r="G28" s="40"/>
    </row>
    <row r="29" spans="2:28" ht="18" hidden="1" x14ac:dyDescent="0.25">
      <c r="C29" s="160" t="s">
        <v>68</v>
      </c>
      <c r="E29" s="26"/>
      <c r="F29" s="161">
        <f>G8</f>
        <v>19.719873012970265</v>
      </c>
      <c r="G29" s="39"/>
      <c r="H29" s="203">
        <v>0.2</v>
      </c>
      <c r="I29" s="204" t="s">
        <v>159</v>
      </c>
      <c r="J29" s="204" t="s">
        <v>160</v>
      </c>
    </row>
    <row r="30" spans="2:28" ht="18" hidden="1" x14ac:dyDescent="0.25">
      <c r="C30" s="160"/>
      <c r="D30" s="38" t="s">
        <v>67</v>
      </c>
      <c r="E30" s="162">
        <f>C14*0.9</f>
        <v>5400000</v>
      </c>
      <c r="F30" s="119">
        <f t="dataTable" ref="F30:F31" dt2D="0" dtr="0" r1="C20" ca="1"/>
        <v>19.534011662879411</v>
      </c>
      <c r="G30" s="39"/>
      <c r="H30" s="205"/>
      <c r="I30" s="205"/>
      <c r="J30" s="205"/>
    </row>
    <row r="31" spans="2:28" ht="18" hidden="1" x14ac:dyDescent="0.25">
      <c r="C31" s="160"/>
      <c r="D31" s="38" t="s">
        <v>66</v>
      </c>
      <c r="E31" s="162">
        <f>C14*1.2</f>
        <v>7200000</v>
      </c>
      <c r="F31" s="161">
        <v>20.091595713151975</v>
      </c>
      <c r="H31" s="206">
        <f>-0.2*(NPV(Inputs!C19,D24:AB24)+(C24))</f>
        <v>-11440299.693482643</v>
      </c>
      <c r="I31" s="207">
        <f>+H31+G6</f>
        <v>-75100247.294199094</v>
      </c>
      <c r="J31" s="207">
        <f>+G6-H31</f>
        <v>-52219647.907233804</v>
      </c>
    </row>
    <row r="32" spans="2:28" ht="18" hidden="1" x14ac:dyDescent="0.25">
      <c r="C32" s="160"/>
      <c r="E32" s="162"/>
      <c r="F32" s="161"/>
      <c r="H32" s="208">
        <f>0.2*NPV(Inputs!C19,D22:AB22)+C22</f>
        <v>645642.57141864626</v>
      </c>
      <c r="I32" s="207">
        <f>+H32+G7</f>
        <v>3873855.4285118775</v>
      </c>
      <c r="J32" s="209">
        <f>+G7-H32</f>
        <v>2582570.285674585</v>
      </c>
    </row>
    <row r="33" spans="3:10" ht="18" hidden="1" x14ac:dyDescent="0.25">
      <c r="C33" s="160"/>
      <c r="E33" s="162"/>
      <c r="F33" s="161"/>
      <c r="H33" s="205"/>
      <c r="I33" s="210">
        <f>-I31/I32</f>
        <v>19.386435214245587</v>
      </c>
      <c r="J33" s="210">
        <f>-J31/J32</f>
        <v>20.220029711057283</v>
      </c>
    </row>
    <row r="34" spans="3:10" ht="18" hidden="1" x14ac:dyDescent="0.25">
      <c r="C34" s="160" t="s">
        <v>69</v>
      </c>
      <c r="E34" s="162"/>
      <c r="F34" s="161">
        <f>G8</f>
        <v>19.719873012970265</v>
      </c>
    </row>
    <row r="35" spans="3:10" ht="18" hidden="1" x14ac:dyDescent="0.25">
      <c r="C35" s="160"/>
      <c r="D35" s="38" t="s">
        <v>67</v>
      </c>
      <c r="E35" s="162">
        <f>(D16+D17)*0.9</f>
        <v>4109178.0821917807</v>
      </c>
      <c r="F35" s="161">
        <f t="dataTable" ref="F35:F36" dt2D="0" dtr="0" r1="D16" ca="1"/>
        <v>17.947948390908042</v>
      </c>
    </row>
    <row r="36" spans="3:10" ht="18" hidden="1" x14ac:dyDescent="0.25">
      <c r="C36" s="160"/>
      <c r="D36" s="38" t="s">
        <v>66</v>
      </c>
      <c r="E36" s="162">
        <f>(D16+D17)*1.2</f>
        <v>5478904.1095890403</v>
      </c>
      <c r="F36" s="161">
        <v>21.137412710620033</v>
      </c>
    </row>
    <row r="37" spans="3:10" ht="18" hidden="1" x14ac:dyDescent="0.25">
      <c r="C37" s="160"/>
      <c r="E37" s="162"/>
      <c r="F37" s="161"/>
    </row>
    <row r="38" spans="3:10" ht="18" hidden="1" x14ac:dyDescent="0.25">
      <c r="C38" s="160"/>
      <c r="E38" s="162"/>
      <c r="F38" s="161"/>
    </row>
    <row r="39" spans="3:10" ht="18" hidden="1" x14ac:dyDescent="0.25">
      <c r="C39" s="160" t="s">
        <v>3</v>
      </c>
      <c r="E39" s="162"/>
      <c r="F39" s="161">
        <f>G8</f>
        <v>19.719873012970265</v>
      </c>
    </row>
    <row r="40" spans="3:10" ht="18" hidden="1" x14ac:dyDescent="0.25">
      <c r="C40" s="160"/>
      <c r="D40" s="38" t="s">
        <v>67</v>
      </c>
      <c r="E40" s="162">
        <f>D18*0.9</f>
        <v>72000</v>
      </c>
      <c r="F40" s="161">
        <f t="dataTable" ref="F40:F41" dt2D="0" dtr="0" r1="D18" ca="1"/>
        <v>19.693206346303601</v>
      </c>
    </row>
    <row r="41" spans="3:10" hidden="1" x14ac:dyDescent="0.2">
      <c r="D41" s="38" t="s">
        <v>66</v>
      </c>
      <c r="E41" s="162">
        <f>D18*1.2</f>
        <v>96000</v>
      </c>
      <c r="F41" s="161">
        <v>19.741206346303596</v>
      </c>
    </row>
    <row r="43" spans="3:10" x14ac:dyDescent="0.2">
      <c r="D43" s="114"/>
    </row>
    <row r="44" spans="3:10" x14ac:dyDescent="0.2">
      <c r="D44" s="114"/>
    </row>
    <row r="45" spans="3:10" x14ac:dyDescent="0.2">
      <c r="D45" s="114"/>
    </row>
  </sheetData>
  <sheetProtection sheet="1" objects="1" scenarios="1" selectLockedCells="1" selectUnlockedCells="1"/>
  <mergeCells count="3">
    <mergeCell ref="E8:F8"/>
    <mergeCell ref="D3:E3"/>
    <mergeCell ref="F3:G3"/>
  </mergeCells>
  <pageMargins left="0.74803149606299213" right="0.74803149606299213" top="0.78" bottom="0.49" header="0.33" footer="0.28000000000000003"/>
  <pageSetup paperSize="8" scale="58" orientation="landscape" r:id="rId1"/>
  <headerFooter alignWithMargins="0">
    <oddHeader>&amp;R&amp;G</oddHeader>
    <oddFooter>&amp;L&amp;8&amp;F / &amp;A
Prepared by Energy for Industry&amp;R&amp;8Printed &amp;D &amp;T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3">
    <tabColor indexed="28"/>
    <pageSetUpPr fitToPage="1"/>
  </sheetPr>
  <dimension ref="B2:AB52"/>
  <sheetViews>
    <sheetView zoomScaleNormal="100" workbookViewId="0">
      <selection activeCell="G6" sqref="G6:G8"/>
    </sheetView>
  </sheetViews>
  <sheetFormatPr defaultRowHeight="12.75" x14ac:dyDescent="0.2"/>
  <cols>
    <col min="1" max="1" width="4" style="4" customWidth="1"/>
    <col min="2" max="2" width="42.7109375" style="4" customWidth="1"/>
    <col min="3" max="3" width="17.85546875" style="4" customWidth="1"/>
    <col min="4" max="5" width="14.7109375" style="4" customWidth="1"/>
    <col min="6" max="6" width="19" style="4" customWidth="1"/>
    <col min="7" max="7" width="19.85546875" style="4" bestFit="1" customWidth="1"/>
    <col min="8" max="18" width="14.7109375" style="4" customWidth="1"/>
    <col min="19" max="19" width="10.5703125" style="4" customWidth="1"/>
    <col min="20" max="22" width="15.140625" style="4" bestFit="1" customWidth="1"/>
    <col min="23" max="23" width="12.140625" style="4" customWidth="1"/>
    <col min="24" max="27" width="14.42578125" style="4" customWidth="1"/>
    <col min="28" max="28" width="15.7109375" style="4" bestFit="1" customWidth="1"/>
    <col min="29" max="16384" width="9.140625" style="4"/>
  </cols>
  <sheetData>
    <row r="2" spans="2:28" s="1" customFormat="1" ht="21.95" customHeight="1" x14ac:dyDescent="0.35">
      <c r="B2" s="91" t="s">
        <v>7</v>
      </c>
      <c r="D2" s="2"/>
    </row>
    <row r="3" spans="2:28" s="1" customFormat="1" ht="21.95" customHeight="1" x14ac:dyDescent="0.35">
      <c r="B3" s="91" t="str">
        <f>'Option 1'!B3</f>
        <v>Lifecycle analysis of heat plants</v>
      </c>
      <c r="D3" s="316"/>
      <c r="E3" s="316"/>
      <c r="F3" s="315"/>
      <c r="G3" s="315"/>
    </row>
    <row r="4" spans="2:28" ht="21.95" customHeight="1" x14ac:dyDescent="0.35">
      <c r="B4" s="96" t="s">
        <v>81</v>
      </c>
      <c r="C4" s="91" t="str">
        <f>+Capital!E5</f>
        <v>Wood chip (wet)</v>
      </c>
    </row>
    <row r="5" spans="2:28" x14ac:dyDescent="0.2">
      <c r="B5" s="6"/>
      <c r="C5" s="67"/>
      <c r="D5" s="48"/>
    </row>
    <row r="6" spans="2:28" x14ac:dyDescent="0.2">
      <c r="D6" s="48"/>
      <c r="E6" s="44" t="s">
        <v>61</v>
      </c>
      <c r="F6" s="60"/>
      <c r="G6" s="233">
        <f>-(NPV(Inputs!C19,D20:AB20)+(C20))</f>
        <v>-51425743.04381308</v>
      </c>
    </row>
    <row r="7" spans="2:28" x14ac:dyDescent="0.2">
      <c r="C7" s="68"/>
      <c r="D7" s="48"/>
      <c r="E7" s="44" t="s">
        <v>60</v>
      </c>
      <c r="F7" s="44"/>
      <c r="G7" s="234">
        <f>NPV(Inputs!C19,D22:AB22)</f>
        <v>3228212.8570932313</v>
      </c>
    </row>
    <row r="8" spans="2:28" x14ac:dyDescent="0.2">
      <c r="C8" s="68"/>
      <c r="D8" s="48"/>
      <c r="E8" s="312" t="s">
        <v>57</v>
      </c>
      <c r="F8" s="312"/>
      <c r="G8" s="232">
        <f>-G6/G7</f>
        <v>15.930096719247375</v>
      </c>
    </row>
    <row r="9" spans="2:28" ht="15" customHeight="1" x14ac:dyDescent="0.2">
      <c r="B9" s="3"/>
      <c r="C9" s="47"/>
      <c r="D9" s="48"/>
    </row>
    <row r="10" spans="2:28" ht="18.75" customHeight="1" x14ac:dyDescent="0.25">
      <c r="B10" s="33" t="s">
        <v>0</v>
      </c>
      <c r="C10" s="30">
        <v>0</v>
      </c>
      <c r="D10" s="30">
        <v>1</v>
      </c>
      <c r="E10" s="30">
        <v>2</v>
      </c>
      <c r="F10" s="30">
        <v>3</v>
      </c>
      <c r="G10" s="30">
        <v>4</v>
      </c>
      <c r="H10" s="30">
        <v>5</v>
      </c>
      <c r="I10" s="30">
        <v>6</v>
      </c>
      <c r="J10" s="30">
        <v>7</v>
      </c>
      <c r="K10" s="30">
        <v>8</v>
      </c>
      <c r="L10" s="30">
        <v>9</v>
      </c>
      <c r="M10" s="30">
        <v>10</v>
      </c>
      <c r="N10" s="30">
        <v>11</v>
      </c>
      <c r="O10" s="30">
        <v>12</v>
      </c>
      <c r="P10" s="30">
        <v>13</v>
      </c>
      <c r="Q10" s="30">
        <v>14</v>
      </c>
      <c r="R10" s="30">
        <v>15</v>
      </c>
      <c r="S10" s="30">
        <v>16</v>
      </c>
      <c r="T10" s="30">
        <v>17</v>
      </c>
      <c r="U10" s="30">
        <v>18</v>
      </c>
      <c r="V10" s="30">
        <v>19</v>
      </c>
      <c r="W10" s="30">
        <v>20</v>
      </c>
      <c r="X10" s="30">
        <v>21</v>
      </c>
      <c r="Y10" s="30">
        <v>22</v>
      </c>
      <c r="Z10" s="30">
        <v>23</v>
      </c>
      <c r="AA10" s="30">
        <v>24</v>
      </c>
      <c r="AB10" s="30">
        <v>25</v>
      </c>
    </row>
    <row r="11" spans="2:28" ht="12" customHeight="1" x14ac:dyDescent="0.2">
      <c r="B11" s="49" t="s">
        <v>6</v>
      </c>
      <c r="C11" s="50"/>
      <c r="D11" s="51">
        <f>IF(D10&gt;Inputs!$C$20,0,1)</f>
        <v>1</v>
      </c>
      <c r="E11" s="51">
        <f>IF(E10&gt;Inputs!$C$20,0,1)</f>
        <v>1</v>
      </c>
      <c r="F11" s="51">
        <f>IF(F10&gt;Inputs!$C$20,0,1)</f>
        <v>1</v>
      </c>
      <c r="G11" s="51">
        <f>IF(G10&gt;Inputs!$C$20,0,1)</f>
        <v>1</v>
      </c>
      <c r="H11" s="51">
        <f>IF(H10&gt;Inputs!$C$20,0,1)</f>
        <v>1</v>
      </c>
      <c r="I11" s="51">
        <f>IF(I10&gt;Inputs!$C$20,0,1)</f>
        <v>1</v>
      </c>
      <c r="J11" s="51">
        <f>IF(J10&gt;Inputs!$C$20,0,1)</f>
        <v>1</v>
      </c>
      <c r="K11" s="51">
        <f>IF(K10&gt;Inputs!$C$20,0,1)</f>
        <v>1</v>
      </c>
      <c r="L11" s="51">
        <f>IF(L10&gt;Inputs!$C$20,0,1)</f>
        <v>1</v>
      </c>
      <c r="M11" s="51">
        <f>IF(M10&gt;Inputs!$C$20,0,1)</f>
        <v>1</v>
      </c>
      <c r="N11" s="51">
        <f>IF(N10&gt;Inputs!$C$20,0,1)</f>
        <v>1</v>
      </c>
      <c r="O11" s="51">
        <f>IF(O10&gt;Inputs!$C$20,0,1)</f>
        <v>1</v>
      </c>
      <c r="P11" s="51">
        <f>IF(P10&gt;Inputs!$C$20,0,1)</f>
        <v>1</v>
      </c>
      <c r="Q11" s="51">
        <f>IF(Q10&gt;Inputs!$C$20,0,1)</f>
        <v>1</v>
      </c>
      <c r="R11" s="51">
        <f>IF(R10&gt;Inputs!$C$20,0,1)</f>
        <v>1</v>
      </c>
      <c r="S11" s="51">
        <f>IF(S10&gt;Inputs!$C$20,0,1)</f>
        <v>1</v>
      </c>
      <c r="T11" s="51">
        <f>IF(T10&gt;Inputs!$C$20,0,1)</f>
        <v>1</v>
      </c>
      <c r="U11" s="51">
        <f>IF(U10&gt;Inputs!$C$20,0,1)</f>
        <v>1</v>
      </c>
      <c r="V11" s="51">
        <f>IF(V10&gt;Inputs!$C$20,0,1)</f>
        <v>1</v>
      </c>
      <c r="W11" s="51">
        <f>IF(W10&gt;Inputs!$C$20,0,1)</f>
        <v>1</v>
      </c>
      <c r="X11" s="51">
        <f>IF(X10&gt;Inputs!$C$20,0,1)</f>
        <v>0</v>
      </c>
      <c r="Y11" s="51">
        <f>IF(Y10&gt;Inputs!$C$20,0,1)</f>
        <v>0</v>
      </c>
      <c r="Z11" s="51">
        <f>IF(Z10&gt;Inputs!$C$20,0,1)</f>
        <v>0</v>
      </c>
      <c r="AA11" s="51">
        <f>IF(AA10&gt;Inputs!$C$20,0,1)</f>
        <v>0</v>
      </c>
      <c r="AB11" s="51">
        <f>IF(AB10&gt;Inputs!$C$20,0,1)</f>
        <v>0</v>
      </c>
    </row>
    <row r="12" spans="2:28" ht="12" customHeight="1" x14ac:dyDescent="0.2">
      <c r="B12" s="52"/>
      <c r="C12" s="53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</row>
    <row r="13" spans="2:28" ht="15" customHeight="1" x14ac:dyDescent="0.25">
      <c r="B13" s="55" t="s">
        <v>59</v>
      </c>
      <c r="C13" s="56"/>
      <c r="D13" s="56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2:28" ht="13.5" customHeight="1" x14ac:dyDescent="0.2">
      <c r="B14" s="69" t="s">
        <v>5</v>
      </c>
      <c r="C14" s="58">
        <f>Inputs!F7</f>
        <v>6000000</v>
      </c>
      <c r="D14" s="58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2:28" ht="13.5" customHeight="1" x14ac:dyDescent="0.2">
      <c r="B15" s="101" t="s">
        <v>49</v>
      </c>
      <c r="C15" s="99"/>
      <c r="D15" s="57">
        <f>-IF(Inputs!$C$20=D10,Inputs!$E$14*$C$14)</f>
        <v>0</v>
      </c>
      <c r="E15" s="57">
        <f>-IF(Inputs!$C$20=E10,Inputs!$E$14*$C$14)</f>
        <v>0</v>
      </c>
      <c r="F15" s="57">
        <f>-IF(Inputs!$C$20=F10,Inputs!$E$14*$C$14)</f>
        <v>0</v>
      </c>
      <c r="G15" s="57">
        <f>-IF(Inputs!$C$20=G10,Inputs!$E$14*$C$14)</f>
        <v>0</v>
      </c>
      <c r="H15" s="57">
        <f>-IF(Inputs!$C$20=H10,Inputs!$E$14*$C$14)</f>
        <v>0</v>
      </c>
      <c r="I15" s="57">
        <f>-IF(Inputs!$C$20=I10,Inputs!$E$14*$C$14)</f>
        <v>0</v>
      </c>
      <c r="J15" s="57">
        <f>-IF(Inputs!$C$20=J10,Inputs!$E$14*$C$14)</f>
        <v>0</v>
      </c>
      <c r="K15" s="57">
        <f>-IF(Inputs!$C$20=K10,Inputs!$E$14*$C$14)</f>
        <v>0</v>
      </c>
      <c r="L15" s="57">
        <f>-IF(Inputs!$C$20=L10,Inputs!$E$14*$C$14)</f>
        <v>0</v>
      </c>
      <c r="M15" s="57">
        <f>-IF(Inputs!$C$20=M10,Inputs!$E$14*$C$14)</f>
        <v>0</v>
      </c>
      <c r="N15" s="57">
        <f>-IF(Inputs!$C$20=N10,Inputs!$E$14*$C$14)</f>
        <v>0</v>
      </c>
      <c r="O15" s="57">
        <f>-IF(Inputs!$C$20=O10,Inputs!$E$14*$C$14)</f>
        <v>0</v>
      </c>
      <c r="P15" s="57">
        <f>-IF(Inputs!$C$20=P10,Inputs!$E$14*$C$14)</f>
        <v>0</v>
      </c>
      <c r="Q15" s="57">
        <f>-IF(Inputs!$C$20=Q10,Inputs!$E$14*$C$14)</f>
        <v>0</v>
      </c>
      <c r="R15" s="57">
        <f>-IF(Inputs!$C$20=R10,Inputs!$E$14*$C$14)</f>
        <v>0</v>
      </c>
      <c r="S15" s="57">
        <f>-IF(Inputs!$C$20=S10,Inputs!$E$14*$C$14)</f>
        <v>0</v>
      </c>
      <c r="T15" s="57">
        <f>-IF(Inputs!$C$20=T10,Inputs!$E$14*$C$14)</f>
        <v>0</v>
      </c>
      <c r="U15" s="57">
        <f>-IF(Inputs!$C$20=U10,Inputs!$E$14*$C$14)</f>
        <v>0</v>
      </c>
      <c r="V15" s="57">
        <f>-IF(Inputs!$C$20=V10,Inputs!$E$14*$C$14)</f>
        <v>0</v>
      </c>
      <c r="W15" s="57">
        <f>-IF(Inputs!$C$20=W10,Inputs!$E$14*$C$14)</f>
        <v>-1500000</v>
      </c>
      <c r="X15" s="57">
        <f>-IF(Inputs!$C$20=X10,Inputs!$E$14*$C$14)</f>
        <v>0</v>
      </c>
      <c r="Y15" s="57">
        <f>-IF(Inputs!$C$20=Y10,Inputs!$E$14*$C$14)</f>
        <v>0</v>
      </c>
      <c r="Z15" s="57">
        <f>-IF(Inputs!$C$20=Z10,Inputs!$E$14*$C$14)</f>
        <v>0</v>
      </c>
      <c r="AA15" s="57">
        <f>-IF(Inputs!$C$20=AA10,Inputs!$E$14*$C$14)</f>
        <v>0</v>
      </c>
      <c r="AB15" s="57">
        <f>-IF(Inputs!$C$20=AB10,Inputs!$E$14*$C$14)</f>
        <v>0</v>
      </c>
    </row>
    <row r="16" spans="2:28" ht="13.5" customHeight="1" x14ac:dyDescent="0.2">
      <c r="B16" s="102" t="s">
        <v>45</v>
      </c>
      <c r="C16" s="57"/>
      <c r="D16" s="57">
        <f>Inputs!F$9*D11</f>
        <v>3580645.1612903229</v>
      </c>
      <c r="E16" s="57">
        <f>E$11*D16*((Inputs!$F$13)+1)</f>
        <v>3652258.0645161294</v>
      </c>
      <c r="F16" s="57">
        <f>F$11*E16*((Inputs!$F$13)+1)</f>
        <v>3725303.2258064519</v>
      </c>
      <c r="G16" s="57">
        <f>G$11*F16*((Inputs!$F$13)+1)</f>
        <v>3799809.2903225808</v>
      </c>
      <c r="H16" s="57">
        <f>H$11*G16*((Inputs!$F$13)+1)</f>
        <v>3875805.4761290327</v>
      </c>
      <c r="I16" s="57">
        <f>I$11*H16*((Inputs!$F$13)+1)</f>
        <v>3953321.5856516133</v>
      </c>
      <c r="J16" s="57">
        <f>J$11*I16*((Inputs!$F$13)+1)</f>
        <v>4032388.0173646458</v>
      </c>
      <c r="K16" s="57">
        <f>K$11*J16*((Inputs!$F$13)+1)</f>
        <v>4113035.7777119386</v>
      </c>
      <c r="L16" s="57">
        <f>L$11*K16*((Inputs!$F$13)+1)</f>
        <v>4195296.4932661774</v>
      </c>
      <c r="M16" s="57">
        <f>M$11*L16*((Inputs!$F$13)+1)</f>
        <v>4279202.4231315013</v>
      </c>
      <c r="N16" s="57">
        <f>N$11*M16*((Inputs!$F$13)+1)</f>
        <v>4364786.4715941316</v>
      </c>
      <c r="O16" s="57">
        <f>O$11*N16*((Inputs!$F$13)+1)</f>
        <v>4452082.2010260141</v>
      </c>
      <c r="P16" s="57">
        <f>P$11*O16*((Inputs!$F$13)+1)</f>
        <v>4541123.8450465342</v>
      </c>
      <c r="Q16" s="57">
        <f>Q$11*P16*((Inputs!$F$13)+1)</f>
        <v>4631946.3219474647</v>
      </c>
      <c r="R16" s="57">
        <f>R$11*Q16*((Inputs!$F$13)+1)</f>
        <v>4724585.2483864138</v>
      </c>
      <c r="S16" s="57">
        <f>S$11*R16*((Inputs!$F$13)+1)</f>
        <v>4819076.9533541426</v>
      </c>
      <c r="T16" s="57">
        <f>T$11*S16*((Inputs!$F$13)+1)</f>
        <v>4915458.4924212256</v>
      </c>
      <c r="U16" s="57">
        <f>U$11*T16*((Inputs!$F$13)+1)</f>
        <v>5013767.66226965</v>
      </c>
      <c r="V16" s="57">
        <f>V$11*U16*((Inputs!$F$13)+1)</f>
        <v>5114043.0155150434</v>
      </c>
      <c r="W16" s="57">
        <f>W$11*V16*((Inputs!$F$13)+1)</f>
        <v>5216323.8758253446</v>
      </c>
      <c r="X16" s="57">
        <f>X$11*W16*((Inputs!$F$13)+1)</f>
        <v>0</v>
      </c>
      <c r="Y16" s="57">
        <f>Y$11*X16*((Inputs!$F$13)+1)</f>
        <v>0</v>
      </c>
      <c r="Z16" s="57">
        <f>Z$11*Y16*((Inputs!$F$13)+1)</f>
        <v>0</v>
      </c>
      <c r="AA16" s="57">
        <f>AA$11*Z16*((Inputs!$F$13)+1)</f>
        <v>0</v>
      </c>
      <c r="AB16" s="57">
        <f>AB$11*AA16*((Inputs!$F$13)+1)</f>
        <v>0</v>
      </c>
    </row>
    <row r="17" spans="2:28" customFormat="1" ht="13.5" customHeight="1" x14ac:dyDescent="0.2">
      <c r="B17" s="194" t="s">
        <v>144</v>
      </c>
      <c r="C17" s="103"/>
      <c r="D17" s="21">
        <f>IF(AND(D10&gt;=Inputs!$C$10,D10&lt;Inputs!$C$11),Inputs!$F$10,IF(AND(D10&gt;=Inputs!$C$11,D10&lt;Inputs!$C$12),Inputs!$F$11,IF(AND(D10&gt;Inputs!$C$11,D10&lt;=Inputs!$C$20),Inputs!$F$12,)))</f>
        <v>0</v>
      </c>
      <c r="E17" s="21">
        <f>IF(AND(E10&gt;=Inputs!$C$10,E10&lt;Inputs!$C$11),Inputs!$F$10,IF(AND(E10&gt;=Inputs!$C$11,E10&lt;Inputs!$C$12),Inputs!$F$11,IF(AND(E10&gt;Inputs!$C$11,E10&lt;=Inputs!$C$20),Inputs!$F$12,)))</f>
        <v>0</v>
      </c>
      <c r="F17" s="21">
        <f>IF(AND(F10&gt;=Inputs!$C$10,F10&lt;Inputs!$C$11),Inputs!$F$10,IF(AND(F10&gt;=Inputs!$C$11,F10&lt;Inputs!$C$12),Inputs!$F$11,IF(AND(F10&gt;Inputs!$C$11,F10&lt;=Inputs!$C$20),Inputs!$F$12,)))</f>
        <v>0</v>
      </c>
      <c r="G17" s="21">
        <f>IF(AND(G10&gt;=Inputs!$C$10,G10&lt;Inputs!$C$11),Inputs!$F$10,IF(AND(G10&gt;=Inputs!$C$11,G10&lt;Inputs!$C$12),Inputs!$F$11,IF(AND(G10&gt;Inputs!$C$11,G10&lt;=Inputs!$C$20),Inputs!$F$12,)))</f>
        <v>0</v>
      </c>
      <c r="H17" s="21">
        <f>IF(AND(H10&gt;=Inputs!$C$10,H10&lt;Inputs!$C$11),Inputs!$F$10,IF(AND(H10&gt;=Inputs!$C$11,H10&lt;Inputs!$C$12),Inputs!$F$11,IF(AND(H10&gt;Inputs!$C$11,H10&lt;=Inputs!$C$20),Inputs!$F$12,)))</f>
        <v>0</v>
      </c>
      <c r="I17" s="21">
        <f>IF(AND(I10&gt;=Inputs!$C$10,I10&lt;Inputs!$C$11),Inputs!$F$10,IF(AND(I10&gt;=Inputs!$C$11,I10&lt;Inputs!$C$12),Inputs!$F$11,IF(AND(I10&gt;Inputs!$C$11,I10&lt;=Inputs!$C$20),Inputs!$F$12,)))</f>
        <v>0</v>
      </c>
      <c r="J17" s="21">
        <f>IF(AND(J10&gt;=Inputs!$C$10,J10&lt;Inputs!$C$11),Inputs!$F$10,IF(AND(J10&gt;=Inputs!$C$11,J10&lt;Inputs!$C$12),Inputs!$F$11,IF(AND(J10&gt;Inputs!$C$11,J10&lt;=Inputs!$C$20),Inputs!$F$12,)))</f>
        <v>0</v>
      </c>
      <c r="K17" s="21">
        <f>IF(AND(K10&gt;=Inputs!$C$10,K10&lt;Inputs!$C$11),Inputs!$F$10,IF(AND(K10&gt;=Inputs!$C$11,K10&lt;Inputs!$C$12),Inputs!$F$11,IF(AND(K10&gt;Inputs!$C$11,K10&lt;=Inputs!$C$20),Inputs!$F$12,)))</f>
        <v>0</v>
      </c>
      <c r="L17" s="21">
        <f>IF(AND(L10&gt;=Inputs!$C$10,L10&lt;Inputs!$C$11),Inputs!$F$10,IF(AND(L10&gt;=Inputs!$C$11,L10&lt;Inputs!$C$12),Inputs!$F$11,IF(AND(L10&gt;Inputs!$C$11,L10&lt;=Inputs!$C$20),Inputs!$F$12,)))</f>
        <v>0</v>
      </c>
      <c r="M17" s="21">
        <f>IF(AND(M10&gt;=Inputs!$C$10,M10&lt;Inputs!$C$11),Inputs!$F$10,IF(AND(M10&gt;=Inputs!$C$11,M10&lt;Inputs!$C$12),Inputs!$F$11,IF(AND(M10&gt;Inputs!$C$11,M10&lt;=Inputs!$C$20),Inputs!$F$12,)))</f>
        <v>0</v>
      </c>
      <c r="N17" s="21">
        <f>IF(AND(N10&gt;=Inputs!$C$10,N10&lt;Inputs!$C$11),Inputs!$F$10,IF(AND(N10&gt;=Inputs!$C$11,N10&lt;Inputs!$C$12),Inputs!$F$11,IF(AND(N10&gt;Inputs!$C$11,N10&lt;=Inputs!$C$20),Inputs!$F$12,)))</f>
        <v>0</v>
      </c>
      <c r="O17" s="21">
        <f>IF(AND(O10&gt;=Inputs!$C$10,O10&lt;Inputs!$C$11),Inputs!$F$10,IF(AND(O10&gt;=Inputs!$C$11,O10&lt;Inputs!$C$12),Inputs!$F$11,IF(AND(O10&gt;Inputs!$C$11,O10&lt;=Inputs!$C$20),Inputs!$F$12,)))</f>
        <v>0</v>
      </c>
      <c r="P17" s="21">
        <f>IF(AND(P10&gt;=Inputs!$C$10,P10&lt;Inputs!$C$11),Inputs!$F$10,IF(AND(P10&gt;=Inputs!$C$11,P10&lt;Inputs!$C$12),Inputs!$F$11,IF(AND(P10&gt;Inputs!$C$11,P10&lt;=Inputs!$C$20),Inputs!$F$12,)))</f>
        <v>0</v>
      </c>
      <c r="Q17" s="21">
        <f>IF(AND(Q10&gt;=Inputs!$C$10,Q10&lt;Inputs!$C$11),Inputs!$F$10,IF(AND(Q10&gt;=Inputs!$C$11,Q10&lt;Inputs!$C$12),Inputs!$F$11,IF(AND(Q10&gt;Inputs!$C$11,Q10&lt;=Inputs!$C$20),Inputs!$F$12,)))</f>
        <v>0</v>
      </c>
      <c r="R17" s="21">
        <f>IF(AND(R10&gt;=Inputs!$C$10,R10&lt;Inputs!$C$11),Inputs!$F$10,IF(AND(R10&gt;=Inputs!$C$11,R10&lt;Inputs!$C$12),Inputs!$F$11,IF(AND(R10&gt;Inputs!$C$11,R10&lt;=Inputs!$C$20),Inputs!$F$12,)))</f>
        <v>0</v>
      </c>
      <c r="S17" s="21">
        <f>IF(AND(S10&gt;=Inputs!$C$10,S10&lt;Inputs!$C$11),Inputs!$F$10,IF(AND(S10&gt;=Inputs!$C$11,S10&lt;Inputs!$C$12),Inputs!$F$11,IF(AND(S10&gt;Inputs!$C$11,S10&lt;=Inputs!$C$20),Inputs!$F$12,)))</f>
        <v>0</v>
      </c>
      <c r="T17" s="21">
        <f>IF(AND(T10&gt;=Inputs!$C$10,T10&lt;Inputs!$C$11),Inputs!$F$10,IF(AND(T10&gt;=Inputs!$C$11,T10&lt;Inputs!$C$12),Inputs!$F$11,IF(AND(T10&gt;Inputs!$C$11,T10&lt;=Inputs!$C$20),Inputs!$F$12,)))</f>
        <v>0</v>
      </c>
      <c r="U17" s="21">
        <f>IF(AND(U10&gt;=Inputs!$C$10,U10&lt;Inputs!$C$11),Inputs!$F$10,IF(AND(U10&gt;=Inputs!$C$11,U10&lt;Inputs!$C$12),Inputs!$F$11,IF(AND(U10&gt;Inputs!$C$11,U10&lt;=Inputs!$C$20),Inputs!$F$12,)))</f>
        <v>0</v>
      </c>
      <c r="V17" s="21">
        <f>IF(AND(V10&gt;=Inputs!$C$10,V10&lt;Inputs!$C$11),Inputs!$F$10,IF(AND(V10&gt;=Inputs!$C$11,V10&lt;Inputs!$C$12),Inputs!$F$11,IF(AND(V10&gt;Inputs!$C$11,V10&lt;=Inputs!$C$20),Inputs!$F$12,)))</f>
        <v>0</v>
      </c>
      <c r="W17" s="21">
        <f>IF(AND(W10&gt;=Inputs!$C$10,W10&lt;Inputs!$C$11),Inputs!$F$10,IF(AND(W10&gt;=Inputs!$C$11,W10&lt;Inputs!$C$12),Inputs!$F$11,IF(AND(W10&gt;Inputs!$C$11,W10&lt;=Inputs!$C$20),Inputs!$F$12,)))</f>
        <v>0</v>
      </c>
      <c r="X17" s="21">
        <f>IF(AND(X10&gt;=Inputs!$C$10,X10&lt;Inputs!$C$11),Inputs!$F$10,IF(AND(X10&gt;=Inputs!$C$11,X10&lt;Inputs!$C$12),Inputs!$F$11,IF(AND(X10&gt;Inputs!$C$11,X10&lt;=Inputs!$C$20),Inputs!$F$12,)))</f>
        <v>0</v>
      </c>
      <c r="Y17" s="21">
        <f>IF(AND(Y10&gt;=Inputs!$C$10,Y10&lt;Inputs!$C$11),Inputs!$F$10,IF(AND(Y10&gt;=Inputs!$C$11,Y10&lt;Inputs!$C$12),Inputs!$F$11,IF(AND(Y10&gt;Inputs!$C$11,Y10&lt;=Inputs!$C$20),Inputs!$F$12,)))</f>
        <v>0</v>
      </c>
      <c r="Z17" s="21">
        <f>IF(AND(Z10&gt;=Inputs!$C$10,Z10&lt;Inputs!$C$11),Inputs!$F$10,IF(AND(Z10&gt;=Inputs!$C$11,Z10&lt;Inputs!$C$12),Inputs!$F$11,IF(AND(Z10&gt;Inputs!$C$11,Z10&lt;=Inputs!$C$20),Inputs!$F$12,)))</f>
        <v>0</v>
      </c>
      <c r="AA17" s="21">
        <f>IF(AND(AA10&gt;=Inputs!$C$10,AA10&lt;Inputs!$C$11),Inputs!$F$10,IF(AND(AA10&gt;=Inputs!$C$11,AA10&lt;Inputs!$C$12),Inputs!$F$11,IF(AND(AA10&gt;Inputs!$C$11,AA10&lt;=Inputs!$C$20),Inputs!$F$12,)))</f>
        <v>0</v>
      </c>
      <c r="AB17" s="21">
        <f>IF(AND(AB10&gt;=Inputs!$C$10,AB10&lt;Inputs!$C$11),Inputs!$F$10,IF(AND(AB10&gt;=Inputs!$C$11,AB10&lt;Inputs!$C$12),Inputs!$F$11,IF(AND(AB10&gt;Inputs!$C$11,AB10&lt;=Inputs!$C$20),Inputs!$F$12,)))</f>
        <v>0</v>
      </c>
    </row>
    <row r="18" spans="2:28" ht="13.5" customHeight="1" x14ac:dyDescent="0.2">
      <c r="B18" s="101" t="s">
        <v>3</v>
      </c>
      <c r="C18" s="99"/>
      <c r="D18" s="57">
        <f>Inputs!$F$8</f>
        <v>90000</v>
      </c>
      <c r="E18" s="57">
        <f t="shared" ref="E18:AB18" si="0">E$11*D18</f>
        <v>90000</v>
      </c>
      <c r="F18" s="57">
        <f t="shared" si="0"/>
        <v>90000</v>
      </c>
      <c r="G18" s="57">
        <f t="shared" si="0"/>
        <v>90000</v>
      </c>
      <c r="H18" s="57">
        <f t="shared" si="0"/>
        <v>90000</v>
      </c>
      <c r="I18" s="57">
        <f t="shared" si="0"/>
        <v>90000</v>
      </c>
      <c r="J18" s="57">
        <f t="shared" ref="J18" si="1">J$11*I18</f>
        <v>90000</v>
      </c>
      <c r="K18" s="57">
        <f t="shared" ref="K18" si="2">K$11*J18</f>
        <v>90000</v>
      </c>
      <c r="L18" s="57">
        <f t="shared" ref="L18" si="3">L$11*K18</f>
        <v>90000</v>
      </c>
      <c r="M18" s="57">
        <f t="shared" ref="M18" si="4">M$11*L18</f>
        <v>90000</v>
      </c>
      <c r="N18" s="57">
        <f t="shared" ref="N18" si="5">N$11*M18</f>
        <v>90000</v>
      </c>
      <c r="O18" s="57">
        <f t="shared" si="0"/>
        <v>90000</v>
      </c>
      <c r="P18" s="57">
        <f t="shared" si="0"/>
        <v>90000</v>
      </c>
      <c r="Q18" s="57">
        <f t="shared" si="0"/>
        <v>90000</v>
      </c>
      <c r="R18" s="57">
        <f t="shared" si="0"/>
        <v>90000</v>
      </c>
      <c r="S18" s="57">
        <f t="shared" si="0"/>
        <v>90000</v>
      </c>
      <c r="T18" s="57">
        <f t="shared" si="0"/>
        <v>90000</v>
      </c>
      <c r="U18" s="57">
        <f t="shared" si="0"/>
        <v>90000</v>
      </c>
      <c r="V18" s="57">
        <f t="shared" si="0"/>
        <v>90000</v>
      </c>
      <c r="W18" s="57">
        <f t="shared" si="0"/>
        <v>90000</v>
      </c>
      <c r="X18" s="57">
        <f t="shared" si="0"/>
        <v>0</v>
      </c>
      <c r="Y18" s="57">
        <f t="shared" si="0"/>
        <v>0</v>
      </c>
      <c r="Z18" s="57">
        <f t="shared" si="0"/>
        <v>0</v>
      </c>
      <c r="AA18" s="57">
        <f t="shared" si="0"/>
        <v>0</v>
      </c>
      <c r="AB18" s="57">
        <f t="shared" si="0"/>
        <v>0</v>
      </c>
    </row>
    <row r="19" spans="2:28" s="3" customFormat="1" ht="13.5" customHeight="1" x14ac:dyDescent="0.2">
      <c r="B19" s="100" t="s">
        <v>75</v>
      </c>
      <c r="C19" s="62"/>
      <c r="D19" s="152">
        <f>Inputs!F15+Inputs!F16</f>
        <v>0</v>
      </c>
      <c r="E19" s="152">
        <f>+Inputs!F15</f>
        <v>0</v>
      </c>
      <c r="F19" s="152">
        <f>'Option 1'!F$11*E19</f>
        <v>0</v>
      </c>
      <c r="G19" s="152">
        <f>'Option 1'!G$11*F19</f>
        <v>0</v>
      </c>
      <c r="H19" s="152">
        <f>'Option 1'!H$11*G19</f>
        <v>0</v>
      </c>
      <c r="I19" s="152">
        <f>'Option 1'!I$11*H19</f>
        <v>0</v>
      </c>
      <c r="J19" s="152">
        <f>'Option 1'!J$11*I19</f>
        <v>0</v>
      </c>
      <c r="K19" s="152">
        <f>'Option 1'!K$11*J19</f>
        <v>0</v>
      </c>
      <c r="L19" s="152">
        <f>'Option 1'!L$11*K19</f>
        <v>0</v>
      </c>
      <c r="M19" s="152">
        <f>'Option 1'!M$11*L19</f>
        <v>0</v>
      </c>
      <c r="N19" s="152">
        <f>'Option 1'!N$11*M19</f>
        <v>0</v>
      </c>
      <c r="O19" s="152">
        <f>'Option 1'!O$11*N19</f>
        <v>0</v>
      </c>
      <c r="P19" s="152">
        <f>'Option 1'!P$11*O19</f>
        <v>0</v>
      </c>
      <c r="Q19" s="152">
        <f>'Option 1'!Q$11*P19</f>
        <v>0</v>
      </c>
      <c r="R19" s="152">
        <f>'Option 1'!R$11*Q19</f>
        <v>0</v>
      </c>
      <c r="S19" s="152">
        <f>'Option 1'!S$11*R19</f>
        <v>0</v>
      </c>
      <c r="T19" s="152">
        <f>'Option 1'!T$11*S19</f>
        <v>0</v>
      </c>
      <c r="U19" s="152">
        <f>'Option 1'!U$11*T19</f>
        <v>0</v>
      </c>
      <c r="V19" s="152">
        <f>'Option 1'!V$11*U19</f>
        <v>0</v>
      </c>
      <c r="W19" s="152">
        <f>'Option 1'!W$11*V19</f>
        <v>0</v>
      </c>
      <c r="X19" s="152">
        <f>'Option 1'!X$11*W19</f>
        <v>0</v>
      </c>
      <c r="Y19" s="152">
        <f>'Option 1'!Y$11*X19</f>
        <v>0</v>
      </c>
      <c r="Z19" s="152">
        <f>'Option 1'!Z$11*Y19</f>
        <v>0</v>
      </c>
      <c r="AA19" s="152">
        <f>'Option 1'!AA$11*Z19</f>
        <v>0</v>
      </c>
      <c r="AB19" s="152">
        <f>'Option 1'!AB$11*AA19</f>
        <v>0</v>
      </c>
    </row>
    <row r="20" spans="2:28" s="3" customFormat="1" ht="13.5" customHeight="1" thickBot="1" x14ac:dyDescent="0.25">
      <c r="B20" s="70" t="s">
        <v>46</v>
      </c>
      <c r="C20" s="155">
        <f>SUM(C14:C19)</f>
        <v>6000000</v>
      </c>
      <c r="D20" s="156">
        <f>SUM(D14:D19)</f>
        <v>3670645.1612903229</v>
      </c>
      <c r="E20" s="156">
        <f t="shared" ref="E20:AB20" si="6">SUM(E14:E19)</f>
        <v>3742258.0645161294</v>
      </c>
      <c r="F20" s="156">
        <f t="shared" si="6"/>
        <v>3815303.2258064519</v>
      </c>
      <c r="G20" s="156">
        <f t="shared" si="6"/>
        <v>3889809.2903225808</v>
      </c>
      <c r="H20" s="156">
        <f t="shared" si="6"/>
        <v>3965805.4761290327</v>
      </c>
      <c r="I20" s="156">
        <f t="shared" si="6"/>
        <v>4043321.5856516133</v>
      </c>
      <c r="J20" s="156">
        <f t="shared" si="6"/>
        <v>4122388.0173646458</v>
      </c>
      <c r="K20" s="156">
        <f t="shared" si="6"/>
        <v>4203035.7777119391</v>
      </c>
      <c r="L20" s="156">
        <f t="shared" si="6"/>
        <v>4285296.4932661774</v>
      </c>
      <c r="M20" s="156">
        <f t="shared" si="6"/>
        <v>4369202.4231315013</v>
      </c>
      <c r="N20" s="156">
        <f t="shared" si="6"/>
        <v>4454786.4715941316</v>
      </c>
      <c r="O20" s="156">
        <f t="shared" si="6"/>
        <v>4542082.2010260141</v>
      </c>
      <c r="P20" s="156">
        <f t="shared" si="6"/>
        <v>4631123.8450465342</v>
      </c>
      <c r="Q20" s="156">
        <f t="shared" si="6"/>
        <v>4721946.3219474647</v>
      </c>
      <c r="R20" s="156">
        <f t="shared" si="6"/>
        <v>4814585.2483864138</v>
      </c>
      <c r="S20" s="156">
        <f t="shared" si="6"/>
        <v>4909076.9533541426</v>
      </c>
      <c r="T20" s="156">
        <f t="shared" si="6"/>
        <v>5005458.4924212256</v>
      </c>
      <c r="U20" s="156">
        <f t="shared" si="6"/>
        <v>5103767.66226965</v>
      </c>
      <c r="V20" s="156">
        <f t="shared" si="6"/>
        <v>5204043.0155150434</v>
      </c>
      <c r="W20" s="156">
        <f t="shared" si="6"/>
        <v>3806323.8758253446</v>
      </c>
      <c r="X20" s="156">
        <f t="shared" si="6"/>
        <v>0</v>
      </c>
      <c r="Y20" s="156">
        <f t="shared" si="6"/>
        <v>0</v>
      </c>
      <c r="Z20" s="156">
        <f t="shared" si="6"/>
        <v>0</v>
      </c>
      <c r="AA20" s="156">
        <f t="shared" si="6"/>
        <v>0</v>
      </c>
      <c r="AB20" s="156">
        <f t="shared" si="6"/>
        <v>0</v>
      </c>
    </row>
    <row r="21" spans="2:28" ht="13.5" thickTop="1" x14ac:dyDescent="0.2"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</row>
    <row r="22" spans="2:28" ht="15" x14ac:dyDescent="0.25">
      <c r="B22" s="229" t="s">
        <v>62</v>
      </c>
      <c r="D22" s="149">
        <f>Fuel!E7</f>
        <v>300000</v>
      </c>
      <c r="E22" s="150">
        <f>E$11*D22</f>
        <v>300000</v>
      </c>
      <c r="F22" s="150">
        <f t="shared" ref="F22:AB22" si="7">F$11*E22</f>
        <v>300000</v>
      </c>
      <c r="G22" s="150">
        <f t="shared" si="7"/>
        <v>300000</v>
      </c>
      <c r="H22" s="150">
        <f t="shared" si="7"/>
        <v>300000</v>
      </c>
      <c r="I22" s="150">
        <f t="shared" si="7"/>
        <v>300000</v>
      </c>
      <c r="J22" s="150">
        <f t="shared" si="7"/>
        <v>300000</v>
      </c>
      <c r="K22" s="150">
        <f t="shared" si="7"/>
        <v>300000</v>
      </c>
      <c r="L22" s="150">
        <f t="shared" si="7"/>
        <v>300000</v>
      </c>
      <c r="M22" s="150">
        <f t="shared" si="7"/>
        <v>300000</v>
      </c>
      <c r="N22" s="150">
        <f t="shared" si="7"/>
        <v>300000</v>
      </c>
      <c r="O22" s="150">
        <f t="shared" si="7"/>
        <v>300000</v>
      </c>
      <c r="P22" s="150">
        <f t="shared" si="7"/>
        <v>300000</v>
      </c>
      <c r="Q22" s="150">
        <f t="shared" si="7"/>
        <v>300000</v>
      </c>
      <c r="R22" s="150">
        <f t="shared" si="7"/>
        <v>300000</v>
      </c>
      <c r="S22" s="150">
        <f t="shared" si="7"/>
        <v>300000</v>
      </c>
      <c r="T22" s="150">
        <f t="shared" si="7"/>
        <v>300000</v>
      </c>
      <c r="U22" s="150">
        <f t="shared" si="7"/>
        <v>300000</v>
      </c>
      <c r="V22" s="150">
        <f t="shared" si="7"/>
        <v>300000</v>
      </c>
      <c r="W22" s="150">
        <f t="shared" si="7"/>
        <v>300000</v>
      </c>
      <c r="X22" s="150">
        <f t="shared" si="7"/>
        <v>0</v>
      </c>
      <c r="Y22" s="150">
        <f t="shared" si="7"/>
        <v>0</v>
      </c>
      <c r="Z22" s="150">
        <f t="shared" si="7"/>
        <v>0</v>
      </c>
      <c r="AA22" s="150">
        <f t="shared" si="7"/>
        <v>0</v>
      </c>
      <c r="AB22" s="151">
        <f t="shared" si="7"/>
        <v>0</v>
      </c>
    </row>
    <row r="24" spans="2:28" customFormat="1" ht="15" x14ac:dyDescent="0.25">
      <c r="B24" s="219" t="s">
        <v>162</v>
      </c>
      <c r="C24" s="218"/>
      <c r="D24" s="220">
        <f t="shared" ref="D24:AB24" si="8">+D16+D17</f>
        <v>3580645.1612903229</v>
      </c>
      <c r="E24" s="221">
        <f t="shared" si="8"/>
        <v>3652258.0645161294</v>
      </c>
      <c r="F24" s="221">
        <f t="shared" si="8"/>
        <v>3725303.2258064519</v>
      </c>
      <c r="G24" s="221">
        <f t="shared" si="8"/>
        <v>3799809.2903225808</v>
      </c>
      <c r="H24" s="221">
        <f t="shared" si="8"/>
        <v>3875805.4761290327</v>
      </c>
      <c r="I24" s="221">
        <f t="shared" si="8"/>
        <v>3953321.5856516133</v>
      </c>
      <c r="J24" s="221">
        <f t="shared" si="8"/>
        <v>4032388.0173646458</v>
      </c>
      <c r="K24" s="221">
        <f t="shared" si="8"/>
        <v>4113035.7777119386</v>
      </c>
      <c r="L24" s="221">
        <f t="shared" si="8"/>
        <v>4195296.4932661774</v>
      </c>
      <c r="M24" s="221">
        <f t="shared" si="8"/>
        <v>4279202.4231315013</v>
      </c>
      <c r="N24" s="221">
        <f t="shared" si="8"/>
        <v>4364786.4715941316</v>
      </c>
      <c r="O24" s="221">
        <f t="shared" si="8"/>
        <v>4452082.2010260141</v>
      </c>
      <c r="P24" s="221">
        <f t="shared" si="8"/>
        <v>4541123.8450465342</v>
      </c>
      <c r="Q24" s="221">
        <f t="shared" si="8"/>
        <v>4631946.3219474647</v>
      </c>
      <c r="R24" s="221">
        <f t="shared" si="8"/>
        <v>4724585.2483864138</v>
      </c>
      <c r="S24" s="221">
        <f t="shared" si="8"/>
        <v>4819076.9533541426</v>
      </c>
      <c r="T24" s="221">
        <f t="shared" si="8"/>
        <v>4915458.4924212256</v>
      </c>
      <c r="U24" s="221">
        <f t="shared" si="8"/>
        <v>5013767.66226965</v>
      </c>
      <c r="V24" s="221">
        <f t="shared" si="8"/>
        <v>5114043.0155150434</v>
      </c>
      <c r="W24" s="221">
        <f t="shared" si="8"/>
        <v>5216323.8758253446</v>
      </c>
      <c r="X24" s="221">
        <f t="shared" si="8"/>
        <v>0</v>
      </c>
      <c r="Y24" s="221">
        <f t="shared" si="8"/>
        <v>0</v>
      </c>
      <c r="Z24" s="221">
        <f t="shared" si="8"/>
        <v>0</v>
      </c>
      <c r="AA24" s="221">
        <f t="shared" si="8"/>
        <v>0</v>
      </c>
      <c r="AB24" s="222">
        <f t="shared" si="8"/>
        <v>0</v>
      </c>
    </row>
    <row r="25" spans="2:28" customFormat="1" x14ac:dyDescent="0.2">
      <c r="K25" s="34"/>
    </row>
    <row r="26" spans="2:28" customFormat="1" ht="20.25" hidden="1" x14ac:dyDescent="0.3">
      <c r="B26" s="37" t="s">
        <v>70</v>
      </c>
      <c r="K26" s="41"/>
    </row>
    <row r="27" spans="2:28" customFormat="1" hidden="1" x14ac:dyDescent="0.2">
      <c r="B27" s="4"/>
      <c r="F27" s="157"/>
      <c r="G27" s="38"/>
      <c r="H27" s="4"/>
      <c r="K27" s="41"/>
    </row>
    <row r="28" spans="2:28" customFormat="1" ht="15.75" hidden="1" x14ac:dyDescent="0.25">
      <c r="B28" s="4"/>
      <c r="C28" s="36"/>
      <c r="D28" s="4"/>
      <c r="E28" s="35"/>
      <c r="F28" s="39"/>
      <c r="G28" s="40"/>
      <c r="K28" s="41"/>
    </row>
    <row r="29" spans="2:28" customFormat="1" ht="15.75" hidden="1" x14ac:dyDescent="0.25">
      <c r="B29" s="4"/>
      <c r="C29" s="36" t="s">
        <v>68</v>
      </c>
      <c r="D29" s="41">
        <v>1</v>
      </c>
      <c r="E29" s="35"/>
      <c r="F29" s="61">
        <f>G8</f>
        <v>15.930096719247375</v>
      </c>
      <c r="G29" s="40"/>
      <c r="H29" s="223">
        <v>0.2</v>
      </c>
      <c r="I29" s="224" t="s">
        <v>159</v>
      </c>
      <c r="J29" s="224" t="s">
        <v>160</v>
      </c>
    </row>
    <row r="30" spans="2:28" customFormat="1" ht="15.75" hidden="1" x14ac:dyDescent="0.25">
      <c r="B30" s="4"/>
      <c r="C30" s="36"/>
      <c r="D30" s="38" t="s">
        <v>67</v>
      </c>
      <c r="E30" s="121">
        <f>C20*0.9</f>
        <v>5400000</v>
      </c>
      <c r="F30" s="109">
        <f t="dataTable" ref="F30:F31" dt2D="0" dtr="1" r1="C14" ca="1"/>
        <v>14.337087047322639</v>
      </c>
      <c r="G30" s="40"/>
    </row>
    <row r="31" spans="2:28" customFormat="1" ht="15.75" hidden="1" x14ac:dyDescent="0.25">
      <c r="B31" s="4"/>
      <c r="C31" s="36"/>
      <c r="D31" s="38" t="s">
        <v>66</v>
      </c>
      <c r="E31" s="122">
        <f>C20*1.2</f>
        <v>7200000</v>
      </c>
      <c r="F31" s="109">
        <v>19.11611606309685</v>
      </c>
      <c r="G31" s="40"/>
      <c r="H31" s="225">
        <f>-0.2*(NPV(Inputs!C19,D24:AB24)+(C24))</f>
        <v>-8971937.3630546797</v>
      </c>
      <c r="I31" s="226">
        <f>+H31+G6</f>
        <v>-60397680.406867757</v>
      </c>
      <c r="J31" s="226">
        <f>+G6-H31</f>
        <v>-42453805.680758402</v>
      </c>
    </row>
    <row r="32" spans="2:28" customFormat="1" ht="15.75" hidden="1" x14ac:dyDescent="0.25">
      <c r="B32" s="4"/>
      <c r="C32" s="36"/>
      <c r="D32" s="38"/>
      <c r="E32" s="122"/>
      <c r="F32" s="109"/>
      <c r="G32" s="40"/>
      <c r="H32" s="227">
        <f>0.2*NPV(Inputs!C19,D22:AB22)+C22</f>
        <v>645642.57141864626</v>
      </c>
      <c r="I32" s="226">
        <f>+H32+G7</f>
        <v>3873855.4285118775</v>
      </c>
      <c r="J32" s="228">
        <f>+G7-H32</f>
        <v>2582570.285674585</v>
      </c>
    </row>
    <row r="33" spans="2:10" customFormat="1" ht="15.75" hidden="1" x14ac:dyDescent="0.25">
      <c r="B33" s="4"/>
      <c r="C33" s="36"/>
      <c r="D33" s="4"/>
      <c r="E33" s="123"/>
      <c r="F33" s="109"/>
      <c r="G33" s="40"/>
      <c r="I33" s="26">
        <f>-I31/I32</f>
        <v>15.59110336496714</v>
      </c>
      <c r="J33" s="26">
        <f>-J31/J32</f>
        <v>16.438586750667728</v>
      </c>
    </row>
    <row r="34" spans="2:10" customFormat="1" ht="15.75" hidden="1" x14ac:dyDescent="0.25">
      <c r="B34" s="4"/>
      <c r="C34" s="36" t="s">
        <v>69</v>
      </c>
      <c r="D34" s="34">
        <v>1</v>
      </c>
      <c r="E34" s="43"/>
      <c r="F34" s="40">
        <f>G8</f>
        <v>15.930096719247375</v>
      </c>
      <c r="G34" s="40"/>
      <c r="I34" s="26"/>
    </row>
    <row r="35" spans="2:10" customFormat="1" ht="15.75" hidden="1" x14ac:dyDescent="0.25">
      <c r="B35" s="114"/>
      <c r="C35" s="36"/>
      <c r="D35" s="38" t="s">
        <v>67</v>
      </c>
      <c r="E35" s="120">
        <f>(D16+D17)*0.9</f>
        <v>3222580.6451612907</v>
      </c>
      <c r="F35" s="40">
        <f t="dataTable" ref="F35:F36" dt2D="0" dtr="0" r1="D16" ca="1"/>
        <v>14.540483059890773</v>
      </c>
      <c r="G35" s="40"/>
      <c r="H35" s="120"/>
    </row>
    <row r="36" spans="2:10" customFormat="1" ht="15.75" hidden="1" x14ac:dyDescent="0.25">
      <c r="C36" s="36"/>
      <c r="D36" s="38" t="s">
        <v>66</v>
      </c>
      <c r="E36" s="120">
        <f>(D16+D17)*1.2</f>
        <v>4296774.1935483869</v>
      </c>
      <c r="F36" s="61">
        <v>17.041787646732647</v>
      </c>
      <c r="G36" s="40"/>
      <c r="H36" s="120"/>
    </row>
    <row r="37" spans="2:10" customFormat="1" ht="15.75" hidden="1" x14ac:dyDescent="0.25">
      <c r="C37" s="36"/>
      <c r="D37" s="38"/>
      <c r="E37" s="120"/>
      <c r="F37" s="61"/>
      <c r="G37" s="40"/>
    </row>
    <row r="38" spans="2:10" customFormat="1" ht="15.75" hidden="1" x14ac:dyDescent="0.25">
      <c r="C38" s="36"/>
      <c r="D38" s="38"/>
      <c r="E38" s="120"/>
      <c r="F38" s="61"/>
      <c r="G38" s="40"/>
    </row>
    <row r="39" spans="2:10" customFormat="1" ht="15.75" hidden="1" x14ac:dyDescent="0.25">
      <c r="C39" s="36" t="s">
        <v>3</v>
      </c>
      <c r="D39" s="34">
        <v>1</v>
      </c>
      <c r="E39" s="120"/>
      <c r="F39" s="61">
        <f>G8</f>
        <v>15.930096719247375</v>
      </c>
      <c r="G39" s="40"/>
    </row>
    <row r="40" spans="2:10" customFormat="1" hidden="1" x14ac:dyDescent="0.2">
      <c r="D40" s="38" t="s">
        <v>67</v>
      </c>
      <c r="E40" s="120">
        <v>81000</v>
      </c>
      <c r="F40" s="61">
        <f t="dataTable" ref="F40:F41" dt2D="0" dtr="0" r1="D18" ca="1"/>
        <v>15.900096719247369</v>
      </c>
      <c r="G40" s="40"/>
    </row>
    <row r="41" spans="2:10" customFormat="1" hidden="1" x14ac:dyDescent="0.2">
      <c r="D41" s="38" t="s">
        <v>66</v>
      </c>
      <c r="E41" s="120">
        <v>108000</v>
      </c>
      <c r="F41" s="61">
        <v>15.990096719247369</v>
      </c>
      <c r="G41" s="40"/>
    </row>
    <row r="42" spans="2:10" customFormat="1" ht="15.75" hidden="1" x14ac:dyDescent="0.25">
      <c r="C42" s="36"/>
      <c r="D42" s="38"/>
      <c r="E42" s="120"/>
      <c r="F42" s="61"/>
      <c r="G42" s="40"/>
    </row>
    <row r="43" spans="2:10" customFormat="1" ht="15.75" x14ac:dyDescent="0.25">
      <c r="C43" s="36"/>
      <c r="D43" s="38"/>
      <c r="E43" s="120"/>
      <c r="F43" s="61"/>
      <c r="G43" s="40"/>
    </row>
    <row r="44" spans="2:10" customFormat="1" ht="15.75" x14ac:dyDescent="0.25">
      <c r="C44" s="36"/>
      <c r="D44" s="38"/>
      <c r="E44" s="120"/>
      <c r="F44" s="61"/>
      <c r="G44" s="40"/>
    </row>
    <row r="45" spans="2:10" customFormat="1" ht="15.75" x14ac:dyDescent="0.25">
      <c r="B45" s="3"/>
      <c r="C45" s="36"/>
      <c r="D45" s="4"/>
      <c r="E45" s="121"/>
      <c r="F45" s="109"/>
      <c r="G45" s="39"/>
    </row>
    <row r="46" spans="2:10" customFormat="1" x14ac:dyDescent="0.2">
      <c r="C46" s="4"/>
      <c r="D46" s="4"/>
      <c r="E46" s="121"/>
      <c r="F46" s="119"/>
      <c r="G46" s="39"/>
    </row>
    <row r="47" spans="2:10" customFormat="1" x14ac:dyDescent="0.2">
      <c r="C47" s="4"/>
      <c r="D47" s="4"/>
      <c r="E47" s="121"/>
      <c r="F47" s="109"/>
      <c r="G47" s="40"/>
    </row>
    <row r="48" spans="2:10" customFormat="1" x14ac:dyDescent="0.2">
      <c r="C48" s="4"/>
      <c r="D48" s="4"/>
      <c r="E48" s="120"/>
      <c r="F48" s="40"/>
      <c r="G48" s="40"/>
      <c r="H48" s="26"/>
    </row>
    <row r="49" spans="3:8" customFormat="1" x14ac:dyDescent="0.2">
      <c r="D49" s="4"/>
      <c r="E49" s="120"/>
      <c r="F49" s="61"/>
      <c r="G49" s="40"/>
      <c r="H49" s="26"/>
    </row>
    <row r="50" spans="3:8" customFormat="1" x14ac:dyDescent="0.2">
      <c r="C50" s="4"/>
      <c r="D50" s="4"/>
      <c r="E50" s="42"/>
      <c r="F50" s="109"/>
      <c r="G50" s="39"/>
      <c r="H50" s="26"/>
    </row>
    <row r="51" spans="3:8" customFormat="1" x14ac:dyDescent="0.2">
      <c r="C51" s="4"/>
      <c r="D51" s="4"/>
      <c r="E51" s="38"/>
      <c r="F51" s="109"/>
      <c r="G51" s="39"/>
    </row>
    <row r="52" spans="3:8" customFormat="1" x14ac:dyDescent="0.2">
      <c r="C52" s="4"/>
      <c r="E52" s="38"/>
      <c r="F52" s="109"/>
      <c r="G52" s="40"/>
    </row>
  </sheetData>
  <sheetProtection sheet="1" objects="1" scenarios="1" selectLockedCells="1" selectUnlockedCells="1"/>
  <mergeCells count="3">
    <mergeCell ref="F3:G3"/>
    <mergeCell ref="D3:E3"/>
    <mergeCell ref="E8:F8"/>
  </mergeCells>
  <pageMargins left="0.74803149606299213" right="0.74803149606299213" top="0.78" bottom="0.49" header="0.33" footer="0.28000000000000003"/>
  <pageSetup paperSize="8" scale="58" orientation="landscape" r:id="rId1"/>
  <headerFooter alignWithMargins="0">
    <oddHeader>&amp;R&amp;G</oddHeader>
    <oddFooter>&amp;L&amp;8&amp;F / &amp;A
Prepared by Energy for Industry&amp;R&amp;8Printed &amp;D &amp;T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4">
    <tabColor indexed="28"/>
    <pageSetUpPr fitToPage="1"/>
  </sheetPr>
  <dimension ref="B2:AB43"/>
  <sheetViews>
    <sheetView zoomScaleNormal="100" workbookViewId="0">
      <selection activeCell="G6" sqref="G6:G8"/>
    </sheetView>
  </sheetViews>
  <sheetFormatPr defaultRowHeight="12.75" x14ac:dyDescent="0.2"/>
  <cols>
    <col min="1" max="1" width="4" customWidth="1"/>
    <col min="2" max="2" width="42.7109375" customWidth="1"/>
    <col min="3" max="3" width="17.85546875" customWidth="1"/>
    <col min="4" max="5" width="14.7109375" customWidth="1"/>
    <col min="6" max="6" width="19" customWidth="1"/>
    <col min="7" max="7" width="19.85546875" bestFit="1" customWidth="1"/>
    <col min="8" max="18" width="14.7109375" customWidth="1"/>
    <col min="19" max="23" width="15.140625" bestFit="1" customWidth="1"/>
    <col min="24" max="27" width="14.42578125" customWidth="1"/>
    <col min="28" max="28" width="15.7109375" bestFit="1" customWidth="1"/>
  </cols>
  <sheetData>
    <row r="2" spans="2:28" s="1" customFormat="1" ht="21.95" customHeight="1" x14ac:dyDescent="0.35">
      <c r="B2" s="91" t="s">
        <v>7</v>
      </c>
      <c r="D2" s="2"/>
    </row>
    <row r="3" spans="2:28" s="1" customFormat="1" ht="21.95" customHeight="1" x14ac:dyDescent="0.35">
      <c r="B3" s="91" t="str">
        <f>'Option 1'!B3</f>
        <v>Lifecycle analysis of heat plants</v>
      </c>
      <c r="C3" s="5"/>
      <c r="D3"/>
      <c r="E3"/>
      <c r="F3"/>
      <c r="G3"/>
    </row>
    <row r="4" spans="2:28" ht="21.95" customHeight="1" x14ac:dyDescent="0.35">
      <c r="B4" s="96" t="s">
        <v>82</v>
      </c>
      <c r="C4" s="317" t="str">
        <f>+Capital!F5</f>
        <v>Diesel, LFO</v>
      </c>
      <c r="D4" s="293"/>
    </row>
    <row r="5" spans="2:28" x14ac:dyDescent="0.2">
      <c r="B5" s="6"/>
      <c r="C5" s="67"/>
      <c r="D5" s="7"/>
    </row>
    <row r="6" spans="2:28" x14ac:dyDescent="0.2">
      <c r="B6" s="6"/>
      <c r="C6" s="67"/>
      <c r="D6" s="7"/>
      <c r="E6" s="44" t="s">
        <v>61</v>
      </c>
      <c r="F6" s="46"/>
      <c r="G6" s="230">
        <f>-(NPV(Inputs!C19,D20:AB20)+C20)</f>
        <v>-160225467.65756023</v>
      </c>
    </row>
    <row r="7" spans="2:28" x14ac:dyDescent="0.2">
      <c r="B7" s="6"/>
      <c r="C7" s="67"/>
      <c r="D7" s="7"/>
      <c r="E7" s="44" t="s">
        <v>60</v>
      </c>
      <c r="F7" s="44"/>
      <c r="G7" s="234">
        <f>NPV(Inputs!C19,D22:AB22)</f>
        <v>3228212.8570932313</v>
      </c>
    </row>
    <row r="8" spans="2:28" x14ac:dyDescent="0.2">
      <c r="B8" s="6"/>
      <c r="C8" s="67"/>
      <c r="D8" s="7"/>
      <c r="E8" s="44"/>
      <c r="F8" s="45"/>
      <c r="G8" s="232">
        <f>-G6/G7</f>
        <v>49.632869562954255</v>
      </c>
    </row>
    <row r="9" spans="2:28" ht="15" customHeight="1" x14ac:dyDescent="0.2">
      <c r="B9" s="63"/>
      <c r="C9" s="8"/>
      <c r="D9" s="7"/>
    </row>
    <row r="10" spans="2:28" ht="12" customHeight="1" x14ac:dyDescent="0.2">
      <c r="B10" s="10" t="s">
        <v>0</v>
      </c>
      <c r="C10" s="11">
        <v>0</v>
      </c>
      <c r="D10" s="11">
        <v>1</v>
      </c>
      <c r="E10" s="11">
        <v>2</v>
      </c>
      <c r="F10" s="11">
        <v>3</v>
      </c>
      <c r="G10" s="11">
        <v>4</v>
      </c>
      <c r="H10" s="11">
        <v>5</v>
      </c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11">
        <v>11</v>
      </c>
      <c r="O10" s="11">
        <v>12</v>
      </c>
      <c r="P10" s="11">
        <v>13</v>
      </c>
      <c r="Q10" s="11">
        <v>14</v>
      </c>
      <c r="R10" s="11">
        <v>15</v>
      </c>
      <c r="S10" s="11">
        <v>16</v>
      </c>
      <c r="T10" s="11">
        <v>17</v>
      </c>
      <c r="U10" s="11">
        <v>18</v>
      </c>
      <c r="V10" s="11">
        <v>19</v>
      </c>
      <c r="W10" s="11">
        <v>20</v>
      </c>
      <c r="X10" s="11">
        <v>21</v>
      </c>
      <c r="Y10" s="11">
        <v>22</v>
      </c>
      <c r="Z10" s="11">
        <v>23</v>
      </c>
      <c r="AA10" s="11">
        <v>24</v>
      </c>
      <c r="AB10" s="11">
        <v>25</v>
      </c>
    </row>
    <row r="11" spans="2:28" s="4" customFormat="1" ht="12" customHeight="1" x14ac:dyDescent="0.2">
      <c r="B11" s="13" t="s">
        <v>6</v>
      </c>
      <c r="C11" s="14"/>
      <c r="D11" s="15">
        <f>IF(D10&gt;Inputs!$C$20,0,1)</f>
        <v>1</v>
      </c>
      <c r="E11" s="15">
        <f>IF(E10&gt;Inputs!$C$20,0,1)</f>
        <v>1</v>
      </c>
      <c r="F11" s="15">
        <f>IF(F10&gt;Inputs!$C$20,0,1)</f>
        <v>1</v>
      </c>
      <c r="G11" s="15">
        <f>IF(G10&gt;Inputs!$C$20,0,1)</f>
        <v>1</v>
      </c>
      <c r="H11" s="15">
        <f>IF(H10&gt;Inputs!$C$20,0,1)</f>
        <v>1</v>
      </c>
      <c r="I11" s="15">
        <f>IF(I10&gt;Inputs!$C$20,0,1)</f>
        <v>1</v>
      </c>
      <c r="J11" s="15">
        <f>IF(J10&gt;Inputs!$C$20,0,1)</f>
        <v>1</v>
      </c>
      <c r="K11" s="15">
        <f>IF(K10&gt;Inputs!$C$20,0,1)</f>
        <v>1</v>
      </c>
      <c r="L11" s="15">
        <f>IF(L10&gt;Inputs!$C$20,0,1)</f>
        <v>1</v>
      </c>
      <c r="M11" s="15">
        <f>IF(M10&gt;Inputs!$C$20,0,1)</f>
        <v>1</v>
      </c>
      <c r="N11" s="15">
        <f>IF(N10&gt;Inputs!$C$20,0,1)</f>
        <v>1</v>
      </c>
      <c r="O11" s="15">
        <f>IF(O10&gt;Inputs!$C$20,0,1)</f>
        <v>1</v>
      </c>
      <c r="P11" s="15">
        <f>IF(P10&gt;Inputs!$C$20,0,1)</f>
        <v>1</v>
      </c>
      <c r="Q11" s="15">
        <f>IF(Q10&gt;Inputs!$C$20,0,1)</f>
        <v>1</v>
      </c>
      <c r="R11" s="15">
        <f>IF(R10&gt;Inputs!$C$20,0,1)</f>
        <v>1</v>
      </c>
      <c r="S11" s="15">
        <f>IF(S10&gt;Inputs!$C$20,0,1)</f>
        <v>1</v>
      </c>
      <c r="T11" s="15">
        <f>IF(T10&gt;Inputs!$C$20,0,1)</f>
        <v>1</v>
      </c>
      <c r="U11" s="15">
        <f>IF(U10&gt;Inputs!$C$20,0,1)</f>
        <v>1</v>
      </c>
      <c r="V11" s="15">
        <f>IF(V10&gt;Inputs!$C$20,0,1)</f>
        <v>1</v>
      </c>
      <c r="W11" s="15">
        <f>IF(W10&gt;Inputs!$C$20,0,1)</f>
        <v>1</v>
      </c>
      <c r="X11" s="15">
        <f>IF(X10&gt;Inputs!$C$20,0,1)</f>
        <v>0</v>
      </c>
      <c r="Y11" s="15">
        <f>IF(Y10&gt;Inputs!$C$20,0,1)</f>
        <v>0</v>
      </c>
      <c r="Z11" s="15">
        <f>IF(Z10&gt;Inputs!$C$20,0,1)</f>
        <v>0</v>
      </c>
      <c r="AA11" s="15">
        <f>IF(AA10&gt;Inputs!$C$20,0,1)</f>
        <v>0</v>
      </c>
      <c r="AB11" s="15">
        <f>IF(AB10&gt;Inputs!$C$20,0,1)</f>
        <v>0</v>
      </c>
    </row>
    <row r="12" spans="2:28" ht="12" customHeight="1" x14ac:dyDescent="0.2">
      <c r="B12" s="10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2:28" ht="15" customHeight="1" x14ac:dyDescent="0.2">
      <c r="B13" s="107" t="s">
        <v>59</v>
      </c>
      <c r="C13" s="105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2:28" ht="13.5" customHeight="1" x14ac:dyDescent="0.2">
      <c r="B14" s="108" t="s">
        <v>5</v>
      </c>
      <c r="C14" s="104">
        <f>Inputs!G7</f>
        <v>1080000</v>
      </c>
      <c r="D14" s="22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2:28" ht="13.5" customHeight="1" x14ac:dyDescent="0.2">
      <c r="B15" s="108" t="s">
        <v>49</v>
      </c>
      <c r="C15" s="103"/>
      <c r="D15" s="57">
        <f>-IF(Inputs!$C$20=D10,Inputs!$E$14*$C$14)</f>
        <v>0</v>
      </c>
      <c r="E15" s="57">
        <f>-IF(Inputs!$C$20=E10,Inputs!$E$14*$C$14)</f>
        <v>0</v>
      </c>
      <c r="F15" s="57">
        <f>-IF(Inputs!$C$20=F10,Inputs!$E$14*$C$14)</f>
        <v>0</v>
      </c>
      <c r="G15" s="57">
        <f>-IF(Inputs!$C$20=G10,Inputs!$E$14*$C$14)</f>
        <v>0</v>
      </c>
      <c r="H15" s="57">
        <f>-IF(Inputs!$C$20=H10,Inputs!$E$14*$C$14)</f>
        <v>0</v>
      </c>
      <c r="I15" s="57">
        <f>-IF(Inputs!$C$20=I10,Inputs!$E$14*$C$14)</f>
        <v>0</v>
      </c>
      <c r="J15" s="57">
        <f>-IF(Inputs!$C$20=J10,Inputs!$E$14*$C$14)</f>
        <v>0</v>
      </c>
      <c r="K15" s="57">
        <f>-IF(Inputs!$C$20=K10,Inputs!$E$14*$C$14)</f>
        <v>0</v>
      </c>
      <c r="L15" s="57">
        <f>-IF(Inputs!$C$20=L10,Inputs!$E$14*$C$14)</f>
        <v>0</v>
      </c>
      <c r="M15" s="57">
        <f>-IF(Inputs!$C$20=M10,Inputs!$E$14*$C$14)</f>
        <v>0</v>
      </c>
      <c r="N15" s="57">
        <f>-IF(Inputs!$C$20=N10,Inputs!$E$14*$C$14)</f>
        <v>0</v>
      </c>
      <c r="O15" s="57">
        <f>-IF(Inputs!$C$20=O10,Inputs!$E$14*$C$14)</f>
        <v>0</v>
      </c>
      <c r="P15" s="57">
        <f>-IF(Inputs!$C$20=P10,Inputs!$E$14*$C$14)</f>
        <v>0</v>
      </c>
      <c r="Q15" s="57">
        <f>-IF(Inputs!$C$20=Q10,Inputs!$E$14*$C$14)</f>
        <v>0</v>
      </c>
      <c r="R15" s="57">
        <f>-IF(Inputs!$C$20=R10,Inputs!$E$14*$C$14)</f>
        <v>0</v>
      </c>
      <c r="S15" s="57">
        <f>-IF(Inputs!$C$20=S10,Inputs!$E$14*$C$14)</f>
        <v>0</v>
      </c>
      <c r="T15" s="57">
        <f>-IF(Inputs!$C$20=T10,Inputs!$E$14*$C$14)</f>
        <v>0</v>
      </c>
      <c r="U15" s="57">
        <f>-IF(Inputs!$C$20=U10,Inputs!$E$14*$C$14)</f>
        <v>0</v>
      </c>
      <c r="V15" s="57">
        <f>-IF(Inputs!$C$20=V10,Inputs!$E$14*$C$14)</f>
        <v>0</v>
      </c>
      <c r="W15" s="57">
        <f>-IF(Inputs!$C$20=W10,Inputs!$E$14*$C$14)</f>
        <v>-270000</v>
      </c>
      <c r="X15" s="57">
        <f>-IF(Inputs!$C$20=X10,Inputs!$E$14*$C$14)</f>
        <v>0</v>
      </c>
      <c r="Y15" s="57">
        <f>-IF(Inputs!$C$20=Y10,Inputs!$E$14*$C$14)</f>
        <v>0</v>
      </c>
      <c r="Z15" s="57">
        <f>-IF(Inputs!$C$20=Z10,Inputs!$E$14*$C$14)</f>
        <v>0</v>
      </c>
      <c r="AA15" s="57">
        <f>-IF(Inputs!$C$20=AA10,Inputs!$E$14*$C$14)</f>
        <v>0</v>
      </c>
      <c r="AB15" s="57">
        <f>-IF(Inputs!$C$20=AB10,Inputs!$E$14*$C$14)</f>
        <v>0</v>
      </c>
    </row>
    <row r="16" spans="2:28" ht="13.5" customHeight="1" x14ac:dyDescent="0.2">
      <c r="B16" s="108" t="s">
        <v>45</v>
      </c>
      <c r="C16" s="103"/>
      <c r="D16" s="21">
        <f>Inputs!G9</f>
        <v>11347500</v>
      </c>
      <c r="E16" s="21">
        <f>E$11*D16*((Inputs!$G$13)+1)</f>
        <v>11574450</v>
      </c>
      <c r="F16" s="21">
        <f>F$11*E16*((Inputs!$G$13)+1)</f>
        <v>11805939</v>
      </c>
      <c r="G16" s="21">
        <f>G$11*F16*((Inputs!$G$13)+1)</f>
        <v>12042057.779999999</v>
      </c>
      <c r="H16" s="21">
        <f>H$11*G16*((Inputs!$G$13)+1)</f>
        <v>12282898.9356</v>
      </c>
      <c r="I16" s="21">
        <f>I$11*H16*((Inputs!$G$13)+1)</f>
        <v>12528556.914311999</v>
      </c>
      <c r="J16" s="21">
        <f>J$11*I16*((Inputs!$G$13)+1)</f>
        <v>12779128.05259824</v>
      </c>
      <c r="K16" s="21">
        <f>K$11*J16*((Inputs!$G$13)+1)</f>
        <v>13034710.613650205</v>
      </c>
      <c r="L16" s="21">
        <f>L$11*K16*((Inputs!$G$13)+1)</f>
        <v>13295404.825923208</v>
      </c>
      <c r="M16" s="21">
        <f>M$11*L16*((Inputs!$G$13)+1)</f>
        <v>13561312.922441673</v>
      </c>
      <c r="N16" s="21">
        <f>N$11*M16*((Inputs!$G$13)+1)</f>
        <v>13832539.180890506</v>
      </c>
      <c r="O16" s="21">
        <f>O$11*N16*((Inputs!$G$13)+1)</f>
        <v>14109189.964508317</v>
      </c>
      <c r="P16" s="21">
        <f>P$11*O16*((Inputs!$G$13)+1)</f>
        <v>14391373.763798485</v>
      </c>
      <c r="Q16" s="21">
        <f>Q$11*P16*((Inputs!$G$13)+1)</f>
        <v>14679201.239074454</v>
      </c>
      <c r="R16" s="21">
        <f>R$11*Q16*((Inputs!$G$13)+1)</f>
        <v>14972785.263855943</v>
      </c>
      <c r="S16" s="21">
        <f>S$11*R16*((Inputs!$G$13)+1)</f>
        <v>15272240.969133062</v>
      </c>
      <c r="T16" s="21">
        <f>T$11*S16*((Inputs!$G$13)+1)</f>
        <v>15577685.788515724</v>
      </c>
      <c r="U16" s="21">
        <f>U$11*T16*((Inputs!$G$13)+1)</f>
        <v>15889239.50428604</v>
      </c>
      <c r="V16" s="21">
        <f>V$11*U16*((Inputs!$G$13)+1)</f>
        <v>16207024.294371761</v>
      </c>
      <c r="W16" s="21">
        <f>W$11*V16*((Inputs!$G$13)+1)</f>
        <v>16531164.780259198</v>
      </c>
      <c r="X16" s="21">
        <f>X$11*W16*((Inputs!$G$13)+1)</f>
        <v>0</v>
      </c>
      <c r="Y16" s="21">
        <f>Y$11*X16*((Inputs!$G$13)+1)</f>
        <v>0</v>
      </c>
      <c r="Z16" s="21">
        <f>Z$11*Y16*((Inputs!$G$13)+1)</f>
        <v>0</v>
      </c>
      <c r="AA16" s="21">
        <f>AA$11*Z16*((Inputs!$G$13)+1)</f>
        <v>0</v>
      </c>
      <c r="AB16" s="21">
        <f>AB$11*AA16*((Inputs!$G$13)+1)</f>
        <v>0</v>
      </c>
    </row>
    <row r="17" spans="2:28" ht="13.5" customHeight="1" x14ac:dyDescent="0.2">
      <c r="B17" s="194" t="s">
        <v>144</v>
      </c>
      <c r="C17" s="103"/>
      <c r="D17" s="21">
        <f>IF(AND(D10&gt;=Inputs!$C$10,D10&lt;Inputs!$C$11),Inputs!$G$10,IF(AND(D10&gt;=Inputs!$C$11,D10&lt;Inputs!$C$12),Inputs!$G$11,IF(AND(D10&gt;Inputs!$C$11,D10&lt;=Inputs!$C$20),Inputs!$G$12,)))</f>
        <v>600000</v>
      </c>
      <c r="E17" s="21">
        <f>IF(AND(E10&gt;=Inputs!$C$10,E10&lt;Inputs!$C$11),Inputs!$G$10,IF(AND(E10&gt;=Inputs!$C$11,E10&lt;Inputs!$C$12),Inputs!$G$11,IF(AND(E10&gt;Inputs!$C$11,E10&lt;=Inputs!$C$20),Inputs!$G$12,)))</f>
        <v>600000</v>
      </c>
      <c r="F17" s="21">
        <f>IF(AND(F10&gt;=Inputs!$C$10,F10&lt;Inputs!$C$11),Inputs!$G$10,IF(AND(F10&gt;=Inputs!$C$11,F10&lt;Inputs!$C$12),Inputs!$G$11,IF(AND(F10&gt;Inputs!$C$11,F10&lt;=Inputs!$C$20),Inputs!$G$12,)))</f>
        <v>600000</v>
      </c>
      <c r="G17" s="21">
        <f>IF(AND(G10&gt;=Inputs!$C$10,G10&lt;Inputs!$C$11),Inputs!$G$10,IF(AND(G10&gt;=Inputs!$C$11,G10&lt;Inputs!$C$12),Inputs!$G$11,IF(AND(G10&gt;Inputs!$C$11,G10&lt;=Inputs!$C$20),Inputs!$G$12,)))</f>
        <v>600000</v>
      </c>
      <c r="H17" s="21">
        <f>IF(AND(H10&gt;=Inputs!$C$10,H10&lt;Inputs!$C$11),Inputs!$G$10,IF(AND(H10&gt;=Inputs!$C$11,H10&lt;Inputs!$C$12),Inputs!$G$11,IF(AND(H10&gt;Inputs!$C$11,H10&lt;=Inputs!$C$20),Inputs!$G$12,)))</f>
        <v>600000</v>
      </c>
      <c r="I17" s="21">
        <f>IF(AND(I10&gt;=Inputs!$C$10,I10&lt;Inputs!$C$11),Inputs!$G$10,IF(AND(I10&gt;=Inputs!$C$11,I10&lt;Inputs!$C$12),Inputs!$G$11,IF(AND(I10&gt;Inputs!$C$11,I10&lt;=Inputs!$C$20),Inputs!$G$12,)))</f>
        <v>1440000</v>
      </c>
      <c r="J17" s="21">
        <f>IF(AND(J10&gt;=Inputs!$C$10,J10&lt;Inputs!$C$11),Inputs!$G$10,IF(AND(J10&gt;=Inputs!$C$11,J10&lt;Inputs!$C$12),Inputs!$G$11,IF(AND(J10&gt;Inputs!$C$11,J10&lt;=Inputs!$C$20),Inputs!$G$12,)))</f>
        <v>1440000</v>
      </c>
      <c r="K17" s="21">
        <f>IF(AND(K10&gt;=Inputs!$C$10,K10&lt;Inputs!$C$11),Inputs!$G$10,IF(AND(K10&gt;=Inputs!$C$11,K10&lt;Inputs!$C$12),Inputs!$G$11,IF(AND(K10&gt;Inputs!$C$11,K10&lt;=Inputs!$C$20),Inputs!$G$12,)))</f>
        <v>1440000</v>
      </c>
      <c r="L17" s="21">
        <f>IF(AND(L10&gt;=Inputs!$C$10,L10&lt;Inputs!$C$11),Inputs!$G$10,IF(AND(L10&gt;=Inputs!$C$11,L10&lt;Inputs!$C$12),Inputs!$G$11,IF(AND(L10&gt;Inputs!$C$11,L10&lt;=Inputs!$C$20),Inputs!$G$12,)))</f>
        <v>1440000</v>
      </c>
      <c r="M17" s="21">
        <f>IF(AND(M10&gt;=Inputs!$C$10,M10&lt;Inputs!$C$11),Inputs!$G$10,IF(AND(M10&gt;=Inputs!$C$11,M10&lt;Inputs!$C$12),Inputs!$G$11,IF(AND(M10&gt;Inputs!$C$11,M10&lt;=Inputs!$C$20),Inputs!$G$12,)))</f>
        <v>1440000</v>
      </c>
      <c r="N17" s="21">
        <f>IF(AND(N10&gt;=Inputs!$C$10,N10&lt;Inputs!$C$11),Inputs!$G$10,IF(AND(N10&gt;=Inputs!$C$11,N10&lt;Inputs!$C$12),Inputs!$G$11,IF(AND(N10&gt;Inputs!$C$11,N10&lt;=Inputs!$C$20),Inputs!$G$12,)))</f>
        <v>1440000</v>
      </c>
      <c r="O17" s="21">
        <f>IF(AND(O10&gt;=Inputs!$C$10,O10&lt;Inputs!$C$11),Inputs!$G$10,IF(AND(O10&gt;=Inputs!$C$11,O10&lt;Inputs!$C$12),Inputs!$G$11,IF(AND(O10&gt;Inputs!$C$11,O10&lt;=Inputs!$C$20),Inputs!$G$12,)))</f>
        <v>2880000</v>
      </c>
      <c r="P17" s="21">
        <f>IF(AND(P10&gt;=Inputs!$C$10,P10&lt;Inputs!$C$11),Inputs!$G$10,IF(AND(P10&gt;=Inputs!$C$11,P10&lt;Inputs!$C$12),Inputs!$G$11,IF(AND(P10&gt;Inputs!$C$11,P10&lt;=Inputs!$C$20),Inputs!$G$12,)))</f>
        <v>2880000</v>
      </c>
      <c r="Q17" s="21">
        <f>IF(AND(Q10&gt;=Inputs!$C$10,Q10&lt;Inputs!$C$11),Inputs!$G$10,IF(AND(Q10&gt;=Inputs!$C$11,Q10&lt;Inputs!$C$12),Inputs!$G$11,IF(AND(Q10&gt;Inputs!$C$11,Q10&lt;=Inputs!$C$20),Inputs!$G$12,)))</f>
        <v>2880000</v>
      </c>
      <c r="R17" s="21">
        <f>IF(AND(R10&gt;=Inputs!$C$10,R10&lt;Inputs!$C$11),Inputs!$G$10,IF(AND(R10&gt;=Inputs!$C$11,R10&lt;Inputs!$C$12),Inputs!$G$11,IF(AND(R10&gt;Inputs!$C$11,R10&lt;=Inputs!$C$20),Inputs!$G$12,)))</f>
        <v>2880000</v>
      </c>
      <c r="S17" s="21">
        <f>IF(AND(S10&gt;=Inputs!$C$10,S10&lt;Inputs!$C$11),Inputs!$G$10,IF(AND(S10&gt;=Inputs!$C$11,S10&lt;Inputs!$C$12),Inputs!$G$11,IF(AND(S10&gt;Inputs!$C$11,S10&lt;=Inputs!$C$20),Inputs!$G$12,)))</f>
        <v>2880000</v>
      </c>
      <c r="T17" s="21">
        <f>IF(AND(T10&gt;=Inputs!$C$10,T10&lt;Inputs!$C$11),Inputs!$G$10,IF(AND(T10&gt;=Inputs!$C$11,T10&lt;Inputs!$C$12),Inputs!$G$11,IF(AND(T10&gt;Inputs!$C$11,T10&lt;=Inputs!$C$20),Inputs!$G$12,)))</f>
        <v>2880000</v>
      </c>
      <c r="U17" s="21">
        <f>IF(AND(U10&gt;=Inputs!$C$10,U10&lt;Inputs!$C$11),Inputs!$G$10,IF(AND(U10&gt;=Inputs!$C$11,U10&lt;Inputs!$C$12),Inputs!$G$11,IF(AND(U10&gt;Inputs!$C$11,U10&lt;=Inputs!$C$20),Inputs!$G$12,)))</f>
        <v>2880000</v>
      </c>
      <c r="V17" s="21">
        <f>IF(AND(V10&gt;=Inputs!$C$10,V10&lt;Inputs!$C$11),Inputs!$G$10,IF(AND(V10&gt;=Inputs!$C$11,V10&lt;Inputs!$C$12),Inputs!$G$11,IF(AND(V10&gt;Inputs!$C$11,V10&lt;=Inputs!$C$20),Inputs!$G$12,)))</f>
        <v>2880000</v>
      </c>
      <c r="W17" s="21">
        <f>IF(AND(W10&gt;=Inputs!$C$10,W10&lt;Inputs!$C$11),Inputs!$G$10,IF(AND(W10&gt;=Inputs!$C$11,W10&lt;Inputs!$C$12),Inputs!$G$11,IF(AND(W10&gt;Inputs!$C$11,W10&lt;=Inputs!$C$20),Inputs!$G$12,)))</f>
        <v>2880000</v>
      </c>
      <c r="X17" s="21">
        <f>IF(AND(X10&gt;=Inputs!$C$10,X10&lt;Inputs!$C$11),Inputs!$G$10,IF(AND(X10&gt;=Inputs!$C$11,X10&lt;Inputs!$C$12),Inputs!$G$11,IF(AND(X10&gt;Inputs!$C$11,X10&lt;=Inputs!$C$20),Inputs!$G$12,)))</f>
        <v>0</v>
      </c>
      <c r="Y17" s="21">
        <f>IF(AND(Y10&gt;=Inputs!$C$10,Y10&lt;Inputs!$C$11),Inputs!$G$10,IF(AND(Y10&gt;=Inputs!$C$11,Y10&lt;Inputs!$C$12),Inputs!$G$11,IF(AND(Y10&gt;Inputs!$C$11,Y10&lt;=Inputs!$C$20),Inputs!$G$12,)))</f>
        <v>0</v>
      </c>
      <c r="Z17" s="21">
        <f>IF(AND(Z10&gt;=Inputs!$C$10,Z10&lt;Inputs!$C$11),Inputs!$G$10,IF(AND(Z10&gt;=Inputs!$C$11,Z10&lt;Inputs!$C$12),Inputs!$G$11,IF(AND(Z10&gt;Inputs!$C$11,Z10&lt;=Inputs!$C$20),Inputs!$G$12,)))</f>
        <v>0</v>
      </c>
      <c r="AA17" s="21">
        <f>IF(AND(AA10&gt;=Inputs!$C$10,AA10&lt;Inputs!$C$11),Inputs!$G$10,IF(AND(AA10&gt;=Inputs!$C$11,AA10&lt;Inputs!$C$12),Inputs!$G$11,IF(AND(AA10&gt;Inputs!$C$11,AA10&lt;=Inputs!$C$20),Inputs!$G$12,)))</f>
        <v>0</v>
      </c>
      <c r="AB17" s="21">
        <f>IF(AND(AB10&gt;=Inputs!$C$10,AB10&lt;Inputs!$C$11),Inputs!$G$10,IF(AND(AB10&gt;=Inputs!$C$11,AB10&lt;Inputs!$C$12),Inputs!$G$11,IF(AND(AB10&gt;Inputs!$C$11,AB10&lt;=Inputs!$C$20),Inputs!$G$12,)))</f>
        <v>0</v>
      </c>
    </row>
    <row r="18" spans="2:28" ht="13.5" customHeight="1" x14ac:dyDescent="0.2">
      <c r="B18" s="108" t="s">
        <v>3</v>
      </c>
      <c r="C18" s="103"/>
      <c r="D18" s="21">
        <f>Inputs!G8</f>
        <v>40000</v>
      </c>
      <c r="E18" s="21">
        <f t="shared" ref="E18:AB18" si="0">E$11*D18</f>
        <v>40000</v>
      </c>
      <c r="F18" s="21">
        <f t="shared" si="0"/>
        <v>40000</v>
      </c>
      <c r="G18" s="21">
        <f t="shared" si="0"/>
        <v>40000</v>
      </c>
      <c r="H18" s="21">
        <f t="shared" si="0"/>
        <v>40000</v>
      </c>
      <c r="I18" s="21">
        <f t="shared" si="0"/>
        <v>40000</v>
      </c>
      <c r="J18" s="21">
        <f t="shared" si="0"/>
        <v>40000</v>
      </c>
      <c r="K18" s="21">
        <f t="shared" si="0"/>
        <v>40000</v>
      </c>
      <c r="L18" s="21">
        <f t="shared" si="0"/>
        <v>40000</v>
      </c>
      <c r="M18" s="21">
        <f t="shared" si="0"/>
        <v>40000</v>
      </c>
      <c r="N18" s="21">
        <f t="shared" si="0"/>
        <v>40000</v>
      </c>
      <c r="O18" s="21">
        <f t="shared" si="0"/>
        <v>40000</v>
      </c>
      <c r="P18" s="21">
        <f t="shared" si="0"/>
        <v>40000</v>
      </c>
      <c r="Q18" s="21">
        <f t="shared" si="0"/>
        <v>40000</v>
      </c>
      <c r="R18" s="21">
        <f t="shared" si="0"/>
        <v>40000</v>
      </c>
      <c r="S18" s="21">
        <f t="shared" si="0"/>
        <v>40000</v>
      </c>
      <c r="T18" s="21">
        <f t="shared" si="0"/>
        <v>40000</v>
      </c>
      <c r="U18" s="21">
        <f t="shared" si="0"/>
        <v>40000</v>
      </c>
      <c r="V18" s="21">
        <f t="shared" si="0"/>
        <v>40000</v>
      </c>
      <c r="W18" s="21">
        <f t="shared" si="0"/>
        <v>40000</v>
      </c>
      <c r="X18" s="21">
        <f t="shared" si="0"/>
        <v>0</v>
      </c>
      <c r="Y18" s="21">
        <f t="shared" si="0"/>
        <v>0</v>
      </c>
      <c r="Z18" s="21">
        <f t="shared" si="0"/>
        <v>0</v>
      </c>
      <c r="AA18" s="21">
        <f t="shared" si="0"/>
        <v>0</v>
      </c>
      <c r="AB18" s="21">
        <f t="shared" si="0"/>
        <v>0</v>
      </c>
    </row>
    <row r="19" spans="2:28" s="3" customFormat="1" ht="13.5" customHeight="1" x14ac:dyDescent="0.2">
      <c r="B19" s="100" t="s">
        <v>75</v>
      </c>
      <c r="C19" s="62"/>
      <c r="D19" s="152">
        <f>Inputs!G15+Inputs!G16</f>
        <v>0</v>
      </c>
      <c r="E19" s="152">
        <f>+Inputs!G15</f>
        <v>0</v>
      </c>
      <c r="F19" s="152">
        <f>'Option 1'!F$11*E19</f>
        <v>0</v>
      </c>
      <c r="G19" s="152">
        <f>'Option 1'!G$11*F19</f>
        <v>0</v>
      </c>
      <c r="H19" s="152">
        <f>'Option 1'!H$11*G19</f>
        <v>0</v>
      </c>
      <c r="I19" s="152">
        <f>'Option 1'!I$11*H19</f>
        <v>0</v>
      </c>
      <c r="J19" s="152">
        <f>'Option 1'!J$11*I19</f>
        <v>0</v>
      </c>
      <c r="K19" s="152">
        <f>'Option 1'!K$11*J19</f>
        <v>0</v>
      </c>
      <c r="L19" s="152">
        <f>'Option 1'!L$11*K19</f>
        <v>0</v>
      </c>
      <c r="M19" s="152">
        <f>'Option 1'!M$11*L19</f>
        <v>0</v>
      </c>
      <c r="N19" s="152">
        <f>'Option 1'!N$11*M19</f>
        <v>0</v>
      </c>
      <c r="O19" s="152">
        <f>'Option 1'!O$11*N19</f>
        <v>0</v>
      </c>
      <c r="P19" s="152">
        <f>'Option 1'!P$11*O19</f>
        <v>0</v>
      </c>
      <c r="Q19" s="152">
        <f>'Option 1'!Q$11*P19</f>
        <v>0</v>
      </c>
      <c r="R19" s="152">
        <f>'Option 1'!R$11*Q19</f>
        <v>0</v>
      </c>
      <c r="S19" s="152">
        <f>'Option 1'!S$11*R19</f>
        <v>0</v>
      </c>
      <c r="T19" s="152">
        <f>'Option 1'!T$11*S19</f>
        <v>0</v>
      </c>
      <c r="U19" s="152">
        <f>'Option 1'!U$11*T19</f>
        <v>0</v>
      </c>
      <c r="V19" s="152">
        <f>'Option 1'!V$11*U19</f>
        <v>0</v>
      </c>
      <c r="W19" s="152">
        <f>'Option 1'!W$11*V19</f>
        <v>0</v>
      </c>
      <c r="X19" s="152">
        <f>'Option 1'!X$11*W19</f>
        <v>0</v>
      </c>
      <c r="Y19" s="152">
        <f>'Option 1'!Y$11*X19</f>
        <v>0</v>
      </c>
      <c r="Z19" s="152">
        <f>'Option 1'!Z$11*Y19</f>
        <v>0</v>
      </c>
      <c r="AA19" s="152">
        <f>'Option 1'!AA$11*Z19</f>
        <v>0</v>
      </c>
      <c r="AB19" s="152">
        <f>'Option 1'!AB$11*AA19</f>
        <v>0</v>
      </c>
    </row>
    <row r="20" spans="2:28" s="3" customFormat="1" ht="13.5" customHeight="1" thickBot="1" x14ac:dyDescent="0.25">
      <c r="B20" s="65" t="s">
        <v>46</v>
      </c>
      <c r="C20" s="154">
        <f>SUM(C14:C19)</f>
        <v>1080000</v>
      </c>
      <c r="D20" s="153">
        <f>SUM(D14:D19)</f>
        <v>11987500</v>
      </c>
      <c r="E20" s="153">
        <f t="shared" ref="E20:AB20" si="1">SUM(E14:E19)</f>
        <v>12214450</v>
      </c>
      <c r="F20" s="153">
        <f t="shared" si="1"/>
        <v>12445939</v>
      </c>
      <c r="G20" s="153">
        <f t="shared" si="1"/>
        <v>12682057.779999999</v>
      </c>
      <c r="H20" s="153">
        <f t="shared" si="1"/>
        <v>12922898.9356</v>
      </c>
      <c r="I20" s="153">
        <f t="shared" si="1"/>
        <v>14008556.914311999</v>
      </c>
      <c r="J20" s="153">
        <f t="shared" si="1"/>
        <v>14259128.05259824</v>
      </c>
      <c r="K20" s="153">
        <f t="shared" si="1"/>
        <v>14514710.613650205</v>
      </c>
      <c r="L20" s="153">
        <f t="shared" si="1"/>
        <v>14775404.825923208</v>
      </c>
      <c r="M20" s="153">
        <f t="shared" si="1"/>
        <v>15041312.922441673</v>
      </c>
      <c r="N20" s="153">
        <f t="shared" si="1"/>
        <v>15312539.180890506</v>
      </c>
      <c r="O20" s="153">
        <f t="shared" si="1"/>
        <v>17029189.964508317</v>
      </c>
      <c r="P20" s="153">
        <f t="shared" si="1"/>
        <v>17311373.763798483</v>
      </c>
      <c r="Q20" s="153">
        <f t="shared" si="1"/>
        <v>17599201.239074454</v>
      </c>
      <c r="R20" s="153">
        <f t="shared" si="1"/>
        <v>17892785.263855942</v>
      </c>
      <c r="S20" s="153">
        <f t="shared" si="1"/>
        <v>18192240.969133064</v>
      </c>
      <c r="T20" s="153">
        <f t="shared" si="1"/>
        <v>18497685.788515724</v>
      </c>
      <c r="U20" s="153">
        <f t="shared" si="1"/>
        <v>18809239.50428604</v>
      </c>
      <c r="V20" s="153">
        <f t="shared" si="1"/>
        <v>19127024.294371761</v>
      </c>
      <c r="W20" s="153">
        <f t="shared" si="1"/>
        <v>19181164.780259199</v>
      </c>
      <c r="X20" s="153">
        <f t="shared" si="1"/>
        <v>0</v>
      </c>
      <c r="Y20" s="153">
        <f t="shared" si="1"/>
        <v>0</v>
      </c>
      <c r="Z20" s="153">
        <f t="shared" si="1"/>
        <v>0</v>
      </c>
      <c r="AA20" s="153">
        <f t="shared" si="1"/>
        <v>0</v>
      </c>
      <c r="AB20" s="153">
        <f t="shared" si="1"/>
        <v>0</v>
      </c>
    </row>
    <row r="21" spans="2:28" ht="13.5" thickTop="1" x14ac:dyDescent="0.2">
      <c r="B21" s="6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2:28" ht="15" x14ac:dyDescent="0.25">
      <c r="B22" s="219" t="s">
        <v>62</v>
      </c>
      <c r="D22" s="146">
        <f>Fuel!E7</f>
        <v>300000</v>
      </c>
      <c r="E22" s="147">
        <f>E$11*D22</f>
        <v>300000</v>
      </c>
      <c r="F22" s="147">
        <f t="shared" ref="F22:AB22" si="2">F$11*E22</f>
        <v>300000</v>
      </c>
      <c r="G22" s="147">
        <f t="shared" si="2"/>
        <v>300000</v>
      </c>
      <c r="H22" s="147">
        <f t="shared" si="2"/>
        <v>300000</v>
      </c>
      <c r="I22" s="147">
        <f t="shared" si="2"/>
        <v>300000</v>
      </c>
      <c r="J22" s="147">
        <f t="shared" si="2"/>
        <v>300000</v>
      </c>
      <c r="K22" s="147">
        <f t="shared" si="2"/>
        <v>300000</v>
      </c>
      <c r="L22" s="147">
        <f t="shared" si="2"/>
        <v>300000</v>
      </c>
      <c r="M22" s="147">
        <f t="shared" si="2"/>
        <v>300000</v>
      </c>
      <c r="N22" s="147">
        <f t="shared" si="2"/>
        <v>300000</v>
      </c>
      <c r="O22" s="147">
        <f t="shared" si="2"/>
        <v>300000</v>
      </c>
      <c r="P22" s="147">
        <f t="shared" si="2"/>
        <v>300000</v>
      </c>
      <c r="Q22" s="147">
        <f t="shared" si="2"/>
        <v>300000</v>
      </c>
      <c r="R22" s="147">
        <f t="shared" si="2"/>
        <v>300000</v>
      </c>
      <c r="S22" s="147">
        <f t="shared" si="2"/>
        <v>300000</v>
      </c>
      <c r="T22" s="147">
        <f t="shared" si="2"/>
        <v>300000</v>
      </c>
      <c r="U22" s="147">
        <f t="shared" si="2"/>
        <v>300000</v>
      </c>
      <c r="V22" s="147">
        <f t="shared" si="2"/>
        <v>300000</v>
      </c>
      <c r="W22" s="147">
        <f t="shared" si="2"/>
        <v>300000</v>
      </c>
      <c r="X22" s="147">
        <f t="shared" si="2"/>
        <v>0</v>
      </c>
      <c r="Y22" s="147">
        <f t="shared" si="2"/>
        <v>0</v>
      </c>
      <c r="Z22" s="147">
        <f t="shared" si="2"/>
        <v>0</v>
      </c>
      <c r="AA22" s="147">
        <f t="shared" si="2"/>
        <v>0</v>
      </c>
      <c r="AB22" s="148">
        <f t="shared" si="2"/>
        <v>0</v>
      </c>
    </row>
    <row r="24" spans="2:28" ht="15" x14ac:dyDescent="0.25">
      <c r="B24" s="219" t="s">
        <v>162</v>
      </c>
      <c r="C24" s="218"/>
      <c r="D24" s="220">
        <f t="shared" ref="D24:AB24" si="3">+D16+D17</f>
        <v>11947500</v>
      </c>
      <c r="E24" s="221">
        <f t="shared" si="3"/>
        <v>12174450</v>
      </c>
      <c r="F24" s="221">
        <f t="shared" si="3"/>
        <v>12405939</v>
      </c>
      <c r="G24" s="221">
        <f t="shared" si="3"/>
        <v>12642057.779999999</v>
      </c>
      <c r="H24" s="221">
        <f t="shared" si="3"/>
        <v>12882898.9356</v>
      </c>
      <c r="I24" s="221">
        <f t="shared" si="3"/>
        <v>13968556.914311999</v>
      </c>
      <c r="J24" s="221">
        <f t="shared" si="3"/>
        <v>14219128.05259824</v>
      </c>
      <c r="K24" s="221">
        <f t="shared" si="3"/>
        <v>14474710.613650205</v>
      </c>
      <c r="L24" s="221">
        <f t="shared" si="3"/>
        <v>14735404.825923208</v>
      </c>
      <c r="M24" s="221">
        <f t="shared" si="3"/>
        <v>15001312.922441673</v>
      </c>
      <c r="N24" s="221">
        <f t="shared" si="3"/>
        <v>15272539.180890506</v>
      </c>
      <c r="O24" s="221">
        <f t="shared" si="3"/>
        <v>16989189.964508317</v>
      </c>
      <c r="P24" s="221">
        <f t="shared" si="3"/>
        <v>17271373.763798483</v>
      </c>
      <c r="Q24" s="221">
        <f t="shared" si="3"/>
        <v>17559201.239074454</v>
      </c>
      <c r="R24" s="221">
        <f t="shared" si="3"/>
        <v>17852785.263855942</v>
      </c>
      <c r="S24" s="221">
        <f t="shared" si="3"/>
        <v>18152240.969133064</v>
      </c>
      <c r="T24" s="221">
        <f t="shared" si="3"/>
        <v>18457685.788515724</v>
      </c>
      <c r="U24" s="221">
        <f t="shared" si="3"/>
        <v>18769239.50428604</v>
      </c>
      <c r="V24" s="221">
        <f t="shared" si="3"/>
        <v>19087024.294371761</v>
      </c>
      <c r="W24" s="221">
        <f t="shared" si="3"/>
        <v>19411164.780259199</v>
      </c>
      <c r="X24" s="221">
        <f t="shared" si="3"/>
        <v>0</v>
      </c>
      <c r="Y24" s="221">
        <f t="shared" si="3"/>
        <v>0</v>
      </c>
      <c r="Z24" s="221">
        <f t="shared" si="3"/>
        <v>0</v>
      </c>
      <c r="AA24" s="221">
        <f t="shared" si="3"/>
        <v>0</v>
      </c>
      <c r="AB24" s="222">
        <f t="shared" si="3"/>
        <v>0</v>
      </c>
    </row>
    <row r="26" spans="2:28" ht="20.25" hidden="1" x14ac:dyDescent="0.3">
      <c r="B26" s="37" t="s">
        <v>70</v>
      </c>
      <c r="C26" s="37"/>
    </row>
    <row r="27" spans="2:28" hidden="1" x14ac:dyDescent="0.2">
      <c r="F27" s="157"/>
      <c r="K27" s="34"/>
    </row>
    <row r="28" spans="2:28" ht="15.75" hidden="1" x14ac:dyDescent="0.25">
      <c r="B28" s="4"/>
      <c r="C28" s="36"/>
      <c r="D28" s="4"/>
      <c r="E28" s="35"/>
      <c r="F28" s="39"/>
      <c r="K28" s="41"/>
    </row>
    <row r="29" spans="2:28" ht="15.75" hidden="1" x14ac:dyDescent="0.25">
      <c r="B29" s="4"/>
      <c r="C29" s="36" t="s">
        <v>68</v>
      </c>
      <c r="D29" s="41">
        <v>1</v>
      </c>
      <c r="E29" s="35"/>
      <c r="F29" s="61">
        <f>G8</f>
        <v>49.632869562954255</v>
      </c>
      <c r="G29" s="40"/>
      <c r="H29" s="223">
        <v>0.2</v>
      </c>
      <c r="I29" s="224" t="s">
        <v>159</v>
      </c>
      <c r="J29" s="224" t="s">
        <v>160</v>
      </c>
    </row>
    <row r="30" spans="2:28" ht="15.75" hidden="1" x14ac:dyDescent="0.25">
      <c r="B30" s="4"/>
      <c r="C30" s="36"/>
      <c r="D30" s="38" t="s">
        <v>67</v>
      </c>
      <c r="E30" s="121">
        <f>C20*0.9</f>
        <v>972000</v>
      </c>
      <c r="F30" s="109">
        <f t="dataTable" ref="F30:F31" dt2D="0" dtr="0" r1="C20" ca="1"/>
        <v>49.599414519937902</v>
      </c>
      <c r="G30" s="40"/>
    </row>
    <row r="31" spans="2:28" ht="15.75" hidden="1" x14ac:dyDescent="0.25">
      <c r="B31" s="4"/>
      <c r="C31" s="36"/>
      <c r="D31" s="38" t="s">
        <v>66</v>
      </c>
      <c r="E31" s="122">
        <f>C20*1.2</f>
        <v>1296000</v>
      </c>
      <c r="F31" s="109">
        <v>49.659633597367339</v>
      </c>
      <c r="G31" s="40"/>
      <c r="H31" s="225">
        <f>-0.2*(NPV(Inputs!C19,D24:AB24)+(C24))</f>
        <v>-31757494.529952068</v>
      </c>
      <c r="I31" s="226">
        <f>+H31+G6</f>
        <v>-191982962.18751231</v>
      </c>
      <c r="J31" s="226">
        <f>+G6-H31</f>
        <v>-128467973.12760817</v>
      </c>
    </row>
    <row r="32" spans="2:28" ht="15.75" hidden="1" x14ac:dyDescent="0.25">
      <c r="B32" s="4"/>
      <c r="C32" s="36"/>
      <c r="D32" s="38"/>
      <c r="E32" s="122"/>
      <c r="F32" s="109"/>
      <c r="G32" s="40"/>
      <c r="H32" s="227">
        <f>0.2*NPV(Inputs!C19,D22:AB22)+C22</f>
        <v>645642.57141864626</v>
      </c>
      <c r="I32" s="226">
        <f>+H32+G7</f>
        <v>3873855.4285118775</v>
      </c>
      <c r="J32" s="228">
        <f>+G7-H32</f>
        <v>2582570.285674585</v>
      </c>
    </row>
    <row r="33" spans="2:10" ht="15.75" hidden="1" x14ac:dyDescent="0.25">
      <c r="B33" s="4"/>
      <c r="C33" s="36"/>
      <c r="D33" s="4"/>
      <c r="E33" s="123"/>
      <c r="F33" s="109"/>
      <c r="G33" s="40"/>
      <c r="I33" s="26">
        <f>-I31/I32</f>
        <v>49.558628536961592</v>
      </c>
      <c r="J33" s="26">
        <f>-J31/J32</f>
        <v>49.744231101943257</v>
      </c>
    </row>
    <row r="34" spans="2:10" ht="15.75" hidden="1" x14ac:dyDescent="0.25">
      <c r="B34" s="114"/>
      <c r="C34" s="36" t="s">
        <v>69</v>
      </c>
      <c r="D34" s="34">
        <v>1</v>
      </c>
      <c r="E34" s="43"/>
      <c r="F34" s="40">
        <f>G8</f>
        <v>49.632869562954255</v>
      </c>
      <c r="G34" s="40"/>
      <c r="J34" s="61"/>
    </row>
    <row r="35" spans="2:10" ht="15.75" hidden="1" x14ac:dyDescent="0.25">
      <c r="C35" s="36"/>
      <c r="D35" s="38" t="s">
        <v>67</v>
      </c>
      <c r="E35" s="120">
        <f>(D16+D17)*0.9</f>
        <v>10752750</v>
      </c>
      <c r="F35" s="40">
        <f t="dataTable" ref="F35:F36" dt2D="0" dtr="0" r1="D16" ca="1"/>
        <v>47.324702496200004</v>
      </c>
      <c r="G35" s="40"/>
      <c r="J35" s="109"/>
    </row>
    <row r="36" spans="2:10" ht="15.75" hidden="1" x14ac:dyDescent="0.25">
      <c r="B36" s="3"/>
      <c r="C36" s="36"/>
      <c r="D36" s="38" t="s">
        <v>66</v>
      </c>
      <c r="E36" s="120">
        <f>(D16+D17)*1.2</f>
        <v>14337000</v>
      </c>
      <c r="F36" s="61">
        <v>58.465028639069232</v>
      </c>
      <c r="G36" s="39"/>
      <c r="J36" s="109"/>
    </row>
    <row r="37" spans="2:10" ht="15.75" hidden="1" x14ac:dyDescent="0.25">
      <c r="C37" s="36"/>
      <c r="D37" s="38"/>
      <c r="E37" s="120"/>
      <c r="F37" s="61"/>
      <c r="G37" s="39"/>
      <c r="J37" s="109"/>
    </row>
    <row r="38" spans="2:10" ht="15.75" hidden="1" x14ac:dyDescent="0.25">
      <c r="C38" s="36"/>
      <c r="D38" s="38"/>
      <c r="E38" s="120"/>
      <c r="F38" s="61"/>
      <c r="I38" s="40"/>
    </row>
    <row r="39" spans="2:10" ht="15.75" hidden="1" x14ac:dyDescent="0.25">
      <c r="C39" s="36" t="s">
        <v>3</v>
      </c>
      <c r="D39" s="34">
        <v>1</v>
      </c>
      <c r="E39" s="120"/>
      <c r="F39" s="61">
        <f>G8</f>
        <v>49.632869562954255</v>
      </c>
      <c r="G39" s="40"/>
      <c r="H39" s="26"/>
      <c r="J39" s="61"/>
    </row>
    <row r="40" spans="2:10" hidden="1" x14ac:dyDescent="0.2">
      <c r="D40" s="38" t="s">
        <v>67</v>
      </c>
      <c r="E40" s="120">
        <v>81000</v>
      </c>
      <c r="F40" s="61">
        <f t="dataTable" ref="F40:F41" dt2D="0" dtr="0" r1="D18" ca="1"/>
        <v>49.769536229620925</v>
      </c>
      <c r="G40" s="40"/>
      <c r="H40" s="26"/>
      <c r="J40" s="109"/>
    </row>
    <row r="41" spans="2:10" hidden="1" x14ac:dyDescent="0.2">
      <c r="D41" s="38" t="s">
        <v>66</v>
      </c>
      <c r="E41" s="120">
        <v>108000</v>
      </c>
      <c r="F41" s="61">
        <v>49.859536229620922</v>
      </c>
      <c r="G41" s="39"/>
      <c r="H41" s="26"/>
      <c r="J41" s="109"/>
    </row>
    <row r="42" spans="2:10" x14ac:dyDescent="0.2">
      <c r="D42" s="38"/>
      <c r="F42" s="109"/>
      <c r="G42" s="39"/>
      <c r="J42" s="109"/>
    </row>
    <row r="43" spans="2:10" x14ac:dyDescent="0.2">
      <c r="D43" s="38"/>
      <c r="F43" s="109"/>
      <c r="G43" s="40"/>
    </row>
  </sheetData>
  <sheetProtection sheet="1" objects="1" scenarios="1" selectLockedCells="1" selectUnlockedCells="1"/>
  <mergeCells count="1">
    <mergeCell ref="C4:D4"/>
  </mergeCells>
  <pageMargins left="0.74803149606299213" right="0.74803149606299213" top="0.78" bottom="0.49" header="0.33" footer="0.28000000000000003"/>
  <pageSetup paperSize="8" scale="58" orientation="landscape" r:id="rId1"/>
  <headerFooter alignWithMargins="0">
    <oddHeader>&amp;R&amp;G</oddHeader>
    <oddFooter>&amp;L&amp;8&amp;F / &amp;A
Prepared by Energy for Industry&amp;R&amp;8Printed &amp;D &amp;T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5">
    <tabColor indexed="28"/>
    <pageSetUpPr fitToPage="1"/>
  </sheetPr>
  <dimension ref="B2:AB45"/>
  <sheetViews>
    <sheetView zoomScaleNormal="100" workbookViewId="0">
      <selection activeCell="D18" sqref="D18"/>
    </sheetView>
  </sheetViews>
  <sheetFormatPr defaultRowHeight="12.75" x14ac:dyDescent="0.2"/>
  <cols>
    <col min="1" max="1" width="4" customWidth="1"/>
    <col min="2" max="2" width="42.7109375" customWidth="1"/>
    <col min="3" max="3" width="17.85546875" customWidth="1"/>
    <col min="4" max="5" width="14.7109375" customWidth="1"/>
    <col min="6" max="6" width="19" customWidth="1"/>
    <col min="7" max="7" width="19.85546875" bestFit="1" customWidth="1"/>
    <col min="8" max="18" width="14.7109375" customWidth="1"/>
    <col min="19" max="23" width="15.140625" bestFit="1" customWidth="1"/>
    <col min="24" max="27" width="14.42578125" customWidth="1"/>
    <col min="28" max="28" width="15.7109375" bestFit="1" customWidth="1"/>
  </cols>
  <sheetData>
    <row r="2" spans="2:28" s="1" customFormat="1" ht="23.1" customHeight="1" x14ac:dyDescent="0.35">
      <c r="B2" s="91" t="s">
        <v>7</v>
      </c>
      <c r="D2" s="2"/>
    </row>
    <row r="3" spans="2:28" s="1" customFormat="1" ht="23.1" customHeight="1" x14ac:dyDescent="0.35">
      <c r="B3" s="91" t="s">
        <v>78</v>
      </c>
      <c r="C3" s="5"/>
      <c r="D3"/>
      <c r="E3"/>
      <c r="F3"/>
      <c r="G3"/>
      <c r="H3"/>
      <c r="I3"/>
      <c r="J3"/>
    </row>
    <row r="4" spans="2:28" ht="23.1" customHeight="1" x14ac:dyDescent="0.35">
      <c r="B4" s="96" t="s">
        <v>83</v>
      </c>
      <c r="C4" s="91" t="str">
        <f>+Capital!G5</f>
        <v xml:space="preserve"> LPG</v>
      </c>
      <c r="D4" s="6"/>
    </row>
    <row r="5" spans="2:28" x14ac:dyDescent="0.2">
      <c r="B5" s="6"/>
      <c r="C5" s="67"/>
      <c r="D5" s="7"/>
    </row>
    <row r="6" spans="2:28" x14ac:dyDescent="0.2">
      <c r="B6" s="6"/>
      <c r="C6" s="67"/>
      <c r="D6" s="7"/>
      <c r="E6" s="44" t="s">
        <v>61</v>
      </c>
      <c r="F6" s="46"/>
      <c r="G6" s="230">
        <f>-(NPV(Inputs!C19,D20:AB20)+C20)</f>
        <v>-117953939.07484601</v>
      </c>
    </row>
    <row r="7" spans="2:28" x14ac:dyDescent="0.2">
      <c r="B7" s="6"/>
      <c r="C7" s="67"/>
      <c r="D7" s="7"/>
      <c r="E7" s="44" t="s">
        <v>60</v>
      </c>
      <c r="F7" s="44"/>
      <c r="G7" s="234">
        <f>NPV(Inputs!C19,D22:AB22)</f>
        <v>3228212.8570932313</v>
      </c>
    </row>
    <row r="8" spans="2:28" x14ac:dyDescent="0.2">
      <c r="B8" s="6"/>
      <c r="C8" s="67"/>
      <c r="D8" s="7"/>
      <c r="E8" s="44"/>
      <c r="F8" s="45"/>
      <c r="G8" s="232">
        <f>-G6/G7</f>
        <v>36.538463941641965</v>
      </c>
    </row>
    <row r="9" spans="2:28" ht="15" customHeight="1" x14ac:dyDescent="0.2">
      <c r="B9" s="6"/>
      <c r="C9" s="67"/>
      <c r="D9" s="7"/>
    </row>
    <row r="10" spans="2:28" ht="12" customHeight="1" x14ac:dyDescent="0.2">
      <c r="B10" s="10" t="s">
        <v>0</v>
      </c>
      <c r="C10" s="11">
        <v>0</v>
      </c>
      <c r="D10" s="12">
        <f t="shared" ref="D10:AB10" si="0">C10+1</f>
        <v>1</v>
      </c>
      <c r="E10" s="11">
        <f t="shared" si="0"/>
        <v>2</v>
      </c>
      <c r="F10" s="11">
        <f t="shared" si="0"/>
        <v>3</v>
      </c>
      <c r="G10" s="11">
        <f t="shared" si="0"/>
        <v>4</v>
      </c>
      <c r="H10" s="11">
        <f t="shared" si="0"/>
        <v>5</v>
      </c>
      <c r="I10" s="11">
        <f t="shared" si="0"/>
        <v>6</v>
      </c>
      <c r="J10" s="11">
        <f t="shared" si="0"/>
        <v>7</v>
      </c>
      <c r="K10" s="11">
        <f t="shared" si="0"/>
        <v>8</v>
      </c>
      <c r="L10" s="11">
        <f t="shared" si="0"/>
        <v>9</v>
      </c>
      <c r="M10" s="11">
        <f t="shared" si="0"/>
        <v>10</v>
      </c>
      <c r="N10" s="11">
        <f t="shared" si="0"/>
        <v>11</v>
      </c>
      <c r="O10" s="11">
        <f t="shared" si="0"/>
        <v>12</v>
      </c>
      <c r="P10" s="11">
        <f t="shared" si="0"/>
        <v>13</v>
      </c>
      <c r="Q10" s="11">
        <f t="shared" si="0"/>
        <v>14</v>
      </c>
      <c r="R10" s="11">
        <f t="shared" si="0"/>
        <v>15</v>
      </c>
      <c r="S10" s="11">
        <f t="shared" si="0"/>
        <v>16</v>
      </c>
      <c r="T10" s="11">
        <f t="shared" si="0"/>
        <v>17</v>
      </c>
      <c r="U10" s="11">
        <f t="shared" si="0"/>
        <v>18</v>
      </c>
      <c r="V10" s="11">
        <f t="shared" si="0"/>
        <v>19</v>
      </c>
      <c r="W10" s="11">
        <f t="shared" si="0"/>
        <v>20</v>
      </c>
      <c r="X10" s="11">
        <f t="shared" si="0"/>
        <v>21</v>
      </c>
      <c r="Y10" s="11">
        <f t="shared" si="0"/>
        <v>22</v>
      </c>
      <c r="Z10" s="11">
        <f t="shared" si="0"/>
        <v>23</v>
      </c>
      <c r="AA10" s="11">
        <f t="shared" si="0"/>
        <v>24</v>
      </c>
      <c r="AB10" s="11">
        <f t="shared" si="0"/>
        <v>25</v>
      </c>
    </row>
    <row r="11" spans="2:28" s="4" customFormat="1" ht="12" customHeight="1" x14ac:dyDescent="0.2">
      <c r="B11" s="13" t="s">
        <v>6</v>
      </c>
      <c r="C11" s="14"/>
      <c r="D11" s="15">
        <f>IF(D10&gt;Inputs!$C$20,0,1)</f>
        <v>1</v>
      </c>
      <c r="E11" s="15">
        <f>IF(E10&gt;Inputs!$C$20,0,1)</f>
        <v>1</v>
      </c>
      <c r="F11" s="15">
        <f>IF(F10&gt;Inputs!$C$20,0,1)</f>
        <v>1</v>
      </c>
      <c r="G11" s="15">
        <f>IF(G10&gt;Inputs!$C$20,0,1)</f>
        <v>1</v>
      </c>
      <c r="H11" s="15">
        <f>IF(H10&gt;Inputs!$C$20,0,1)</f>
        <v>1</v>
      </c>
      <c r="I11" s="15">
        <f>IF(I10&gt;Inputs!$C$20,0,1)</f>
        <v>1</v>
      </c>
      <c r="J11" s="15">
        <f>IF(J10&gt;Inputs!$C$20,0,1)</f>
        <v>1</v>
      </c>
      <c r="K11" s="15">
        <f>IF(K10&gt;Inputs!$C$20,0,1)</f>
        <v>1</v>
      </c>
      <c r="L11" s="15">
        <f>IF(L10&gt;Inputs!$C$20,0,1)</f>
        <v>1</v>
      </c>
      <c r="M11" s="15">
        <f>IF(M10&gt;Inputs!$C$20,0,1)</f>
        <v>1</v>
      </c>
      <c r="N11" s="15">
        <f>IF(N10&gt;Inputs!$C$20,0,1)</f>
        <v>1</v>
      </c>
      <c r="O11" s="15">
        <f>IF(O10&gt;Inputs!$C$20,0,1)</f>
        <v>1</v>
      </c>
      <c r="P11" s="15">
        <f>IF(P10&gt;Inputs!$C$20,0,1)</f>
        <v>1</v>
      </c>
      <c r="Q11" s="15">
        <f>IF(Q10&gt;Inputs!$C$20,0,1)</f>
        <v>1</v>
      </c>
      <c r="R11" s="15">
        <f>IF(R10&gt;Inputs!$C$20,0,1)</f>
        <v>1</v>
      </c>
      <c r="S11" s="15">
        <f>IF(S10&gt;Inputs!$C$20,0,1)</f>
        <v>1</v>
      </c>
      <c r="T11" s="15">
        <f>IF(T10&gt;Inputs!$C$20,0,1)</f>
        <v>1</v>
      </c>
      <c r="U11" s="15">
        <f>IF(U10&gt;Inputs!$C$20,0,1)</f>
        <v>1</v>
      </c>
      <c r="V11" s="15">
        <f>IF(V10&gt;Inputs!$C$20,0,1)</f>
        <v>1</v>
      </c>
      <c r="W11" s="15">
        <f>IF(W10&gt;Inputs!$C$20,0,1)</f>
        <v>1</v>
      </c>
      <c r="X11" s="15">
        <f>IF(X10&gt;Inputs!$C$20,0,1)</f>
        <v>0</v>
      </c>
      <c r="Y11" s="15">
        <f>IF(Y10&gt;Inputs!$C$20,0,1)</f>
        <v>0</v>
      </c>
      <c r="Z11" s="15">
        <f>IF(Z10&gt;Inputs!$C$20,0,1)</f>
        <v>0</v>
      </c>
      <c r="AA11" s="15">
        <f>IF(AA10&gt;Inputs!$C$20,0,1)</f>
        <v>0</v>
      </c>
      <c r="AB11" s="15">
        <f>IF(AB10&gt;Inputs!$C$20,0,1)</f>
        <v>0</v>
      </c>
    </row>
    <row r="12" spans="2:28" ht="12" customHeight="1" x14ac:dyDescent="0.2"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2:28" ht="15" customHeight="1" x14ac:dyDescent="0.2">
      <c r="B13" s="19" t="s">
        <v>59</v>
      </c>
      <c r="C13" s="20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2:28" ht="13.5" customHeight="1" x14ac:dyDescent="0.2">
      <c r="B14" s="64" t="s">
        <v>5</v>
      </c>
      <c r="C14" s="22">
        <f>Inputs!H7</f>
        <v>900000</v>
      </c>
      <c r="D14" s="22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2:28" ht="13.5" customHeight="1" x14ac:dyDescent="0.2">
      <c r="B15" s="64" t="s">
        <v>49</v>
      </c>
      <c r="C15" s="21"/>
      <c r="D15" s="21">
        <f>-IF(Inputs!$C$20=D10,Inputs!$H$14*$C$14,0)</f>
        <v>0</v>
      </c>
      <c r="E15" s="21">
        <f>-IF(Inputs!$C$20=E10,Inputs!$H$14*$C$14,0)</f>
        <v>0</v>
      </c>
      <c r="F15" s="21">
        <f>-IF(Inputs!$C$20=F10,Inputs!$H$14*$C$14,0)</f>
        <v>0</v>
      </c>
      <c r="G15" s="21">
        <f>-IF(Inputs!$C$20=G10,Inputs!$H$14*$C$14,0)</f>
        <v>0</v>
      </c>
      <c r="H15" s="21">
        <f>-IF(Inputs!$C$20=H10,Inputs!$H$14*$C$14,0)</f>
        <v>0</v>
      </c>
      <c r="I15" s="21">
        <f>-IF(Inputs!$C$20=I10,Inputs!$H$14*$C$14,0)</f>
        <v>0</v>
      </c>
      <c r="J15" s="21">
        <f>-IF(Inputs!$C$20=J10,Inputs!$H$14*$C$14,0)</f>
        <v>0</v>
      </c>
      <c r="K15" s="21">
        <f>-IF(Inputs!$C$20=K10,Inputs!$H$14*$C$14,0)</f>
        <v>0</v>
      </c>
      <c r="L15" s="21">
        <f>-IF(Inputs!$C$20=L10,Inputs!$H$14*$C$14,0)</f>
        <v>0</v>
      </c>
      <c r="M15" s="21">
        <f>-IF(Inputs!$C$20=M10,Inputs!$H$14*$C$14,0)</f>
        <v>0</v>
      </c>
      <c r="N15" s="21">
        <f>-IF(Inputs!$C$20=N10,Inputs!$H$14*$C$14,0)</f>
        <v>0</v>
      </c>
      <c r="O15" s="21">
        <f>-IF(Inputs!$C$20=O10,Inputs!$H$14*$C$14,0)</f>
        <v>0</v>
      </c>
      <c r="P15" s="21">
        <f>-IF(Inputs!$C$20=P10,Inputs!$H$14*$C$14,0)</f>
        <v>0</v>
      </c>
      <c r="Q15" s="21">
        <f>-IF(Inputs!$C$20=Q10,Inputs!$H$14*$C$14,0)</f>
        <v>0</v>
      </c>
      <c r="R15" s="21">
        <f>-IF(Inputs!$C$20=R10,Inputs!$H$14*$C$14,0)</f>
        <v>0</v>
      </c>
      <c r="S15" s="21">
        <f>-IF(Inputs!$C$20=S10,Inputs!$H$14*$C$14,0)</f>
        <v>0</v>
      </c>
      <c r="T15" s="21">
        <f>-IF(Inputs!$C$20=T10,Inputs!$H$14*$C$14,0)</f>
        <v>0</v>
      </c>
      <c r="U15" s="21">
        <f>-IF(Inputs!$C$20=U10,Inputs!$H$14*$C$14,0)</f>
        <v>0</v>
      </c>
      <c r="V15" s="21">
        <f>-IF(Inputs!$C$20=V10,Inputs!$H$14*$C$14,0)</f>
        <v>0</v>
      </c>
      <c r="W15" s="21">
        <f>-IF(Inputs!$C$20=W10,Inputs!$H$14*$C$14,0)</f>
        <v>-315000</v>
      </c>
      <c r="X15" s="21">
        <f>-IF(Inputs!$C$20=X10,Inputs!$H$14*$C$14,0)</f>
        <v>0</v>
      </c>
      <c r="Y15" s="21">
        <f>-IF(Inputs!$C$20=Y10,Inputs!$H$14*$C$14,0)</f>
        <v>0</v>
      </c>
      <c r="Z15" s="21">
        <f>-IF(Inputs!$C$20=Z10,Inputs!$H$14*$C$14,0)</f>
        <v>0</v>
      </c>
      <c r="AA15" s="21">
        <f>-IF(Inputs!$C$20=AA10,Inputs!$H$14*$C$14,0)</f>
        <v>0</v>
      </c>
      <c r="AB15" s="21">
        <f>-IF(Inputs!$C$20=AB10,Inputs!$H$14*$C$14,0)</f>
        <v>0</v>
      </c>
    </row>
    <row r="16" spans="2:28" ht="13.5" customHeight="1" x14ac:dyDescent="0.2">
      <c r="B16" s="64" t="s">
        <v>45</v>
      </c>
      <c r="C16" s="21"/>
      <c r="D16" s="21">
        <f>Inputs!H9</f>
        <v>8333333.333333333</v>
      </c>
      <c r="E16" s="21">
        <f>E$11*D16*((Inputs!$H$13)+1)</f>
        <v>8500000</v>
      </c>
      <c r="F16" s="21">
        <f>F$11*E16*((Inputs!$H$13)+1)</f>
        <v>8670000</v>
      </c>
      <c r="G16" s="21">
        <f>G$11*F16*((Inputs!$H$13)+1)</f>
        <v>8843400</v>
      </c>
      <c r="H16" s="21">
        <f>H$11*G16*((Inputs!$H$13)+1)</f>
        <v>9020268</v>
      </c>
      <c r="I16" s="21">
        <f>I$11*H16*((Inputs!$H$13)+1)</f>
        <v>9200673.3599999994</v>
      </c>
      <c r="J16" s="21">
        <f>J$11*I16*((Inputs!$H$13)+1)</f>
        <v>9384686.8271999992</v>
      </c>
      <c r="K16" s="21">
        <f>K$11*J16*((Inputs!$H$13)+1)</f>
        <v>9572380.5637439992</v>
      </c>
      <c r="L16" s="21">
        <f>L$11*K16*((Inputs!$H$13)+1)</f>
        <v>9763828.1750188787</v>
      </c>
      <c r="M16" s="21">
        <f>M$11*L16*((Inputs!$H$13)+1)</f>
        <v>9959104.7385192569</v>
      </c>
      <c r="N16" s="21">
        <f>N$11*M16*((Inputs!$H$13)+1)</f>
        <v>10158286.833289642</v>
      </c>
      <c r="O16" s="21">
        <f>O$11*N16*((Inputs!$H$13)+1)</f>
        <v>10361452.569955435</v>
      </c>
      <c r="P16" s="21">
        <f>P$11*O16*((Inputs!$H$13)+1)</f>
        <v>10568681.621354543</v>
      </c>
      <c r="Q16" s="21">
        <f>Q$11*P16*((Inputs!$H$13)+1)</f>
        <v>10780055.253781633</v>
      </c>
      <c r="R16" s="21">
        <f>R$11*Q16*((Inputs!$H$13)+1)</f>
        <v>10995656.358857267</v>
      </c>
      <c r="S16" s="21">
        <f>S$11*R16*((Inputs!$H$13)+1)</f>
        <v>11215569.486034412</v>
      </c>
      <c r="T16" s="21">
        <f>T$11*S16*((Inputs!$H$13)+1)</f>
        <v>11439880.8757551</v>
      </c>
      <c r="U16" s="21">
        <f>U$11*T16*((Inputs!$H$13)+1)</f>
        <v>11668678.493270202</v>
      </c>
      <c r="V16" s="21">
        <f>V$11*U16*((Inputs!$H$13)+1)</f>
        <v>11902052.063135605</v>
      </c>
      <c r="W16" s="21">
        <f>W$11*V16*((Inputs!$H$13)+1)</f>
        <v>12140093.104398318</v>
      </c>
      <c r="X16" s="21">
        <f>X$11*W16*((Inputs!$H$13)+1)</f>
        <v>0</v>
      </c>
      <c r="Y16" s="21">
        <f>Y$11*X16*((Inputs!$H$13)+1)</f>
        <v>0</v>
      </c>
      <c r="Z16" s="21">
        <f>Z$11*Y16*((Inputs!$H$13)+1)</f>
        <v>0</v>
      </c>
      <c r="AA16" s="21">
        <f>AA$11*Z16*((Inputs!$H$13)+1)</f>
        <v>0</v>
      </c>
      <c r="AB16" s="21">
        <f>AB$11*AA16*((Inputs!$H$13)+1)</f>
        <v>0</v>
      </c>
    </row>
    <row r="17" spans="2:28" ht="13.5" customHeight="1" x14ac:dyDescent="0.2">
      <c r="B17" s="194" t="s">
        <v>144</v>
      </c>
      <c r="C17" s="103"/>
      <c r="D17" s="21">
        <f>IF(AND(D10&gt;=Inputs!$C$10,D10&lt;Inputs!$C$11),Inputs!$H$10,IF(AND(D10&gt;=Inputs!$C$11,D10&lt;Inputs!$C$12),Inputs!$H$11,IF(AND(D10&gt;Inputs!$C$11,D10&lt;=Inputs!$C$20),Inputs!$H$12,)))</f>
        <v>450000</v>
      </c>
      <c r="E17" s="21">
        <f>IF(AND(E10&gt;=Inputs!$C$10,E10&lt;Inputs!$C$11),Inputs!$H$10,IF(AND(E10&gt;=Inputs!$C$11,E10&lt;Inputs!$C$12),Inputs!$H$11,IF(AND(E10&gt;Inputs!$C$11,E10&lt;=Inputs!$C$20),Inputs!$H$12,)))</f>
        <v>450000</v>
      </c>
      <c r="F17" s="21">
        <f>IF(AND(F10&gt;=Inputs!$C$10,F10&lt;Inputs!$C$11),Inputs!$H$10,IF(AND(F10&gt;=Inputs!$C$11,F10&lt;Inputs!$C$12),Inputs!$H$11,IF(AND(F10&gt;Inputs!$C$11,F10&lt;=Inputs!$C$20),Inputs!$H$12,)))</f>
        <v>450000</v>
      </c>
      <c r="G17" s="21">
        <f>IF(AND(G10&gt;=Inputs!$C$10,G10&lt;Inputs!$C$11),Inputs!$H$10,IF(AND(G10&gt;=Inputs!$C$11,G10&lt;Inputs!$C$12),Inputs!$H$11,IF(AND(G10&gt;Inputs!$C$11,G10&lt;=Inputs!$C$20),Inputs!$H$12,)))</f>
        <v>450000</v>
      </c>
      <c r="H17" s="21">
        <f>IF(AND(H10&gt;=Inputs!$C$10,H10&lt;Inputs!$C$11),Inputs!$H$10,IF(AND(H10&gt;=Inputs!$C$11,H10&lt;Inputs!$C$12),Inputs!$H$11,IF(AND(H10&gt;Inputs!$C$11,H10&lt;=Inputs!$C$20),Inputs!$H$12,)))</f>
        <v>450000</v>
      </c>
      <c r="I17" s="21">
        <f>IF(AND(I10&gt;=Inputs!$C$10,I10&lt;Inputs!$C$11),Inputs!$H$10,IF(AND(I10&gt;=Inputs!$C$11,I10&lt;Inputs!$C$12),Inputs!$H$11,IF(AND(I10&gt;Inputs!$C$11,I10&lt;=Inputs!$C$20),Inputs!$H$12,)))</f>
        <v>1080000</v>
      </c>
      <c r="J17" s="21">
        <f>IF(AND(J10&gt;=Inputs!$C$10,J10&lt;Inputs!$C$11),Inputs!$H$10,IF(AND(J10&gt;=Inputs!$C$11,J10&lt;Inputs!$C$12),Inputs!$H$11,IF(AND(J10&gt;Inputs!$C$11,J10&lt;=Inputs!$C$20),Inputs!$H$12,)))</f>
        <v>1080000</v>
      </c>
      <c r="K17" s="21">
        <f>IF(AND(K10&gt;=Inputs!$C$10,K10&lt;Inputs!$C$11),Inputs!$H$10,IF(AND(K10&gt;=Inputs!$C$11,K10&lt;Inputs!$C$12),Inputs!$H$11,IF(AND(K10&gt;Inputs!$C$11,K10&lt;=Inputs!$C$20),Inputs!$H$12,)))</f>
        <v>1080000</v>
      </c>
      <c r="L17" s="21">
        <f>IF(AND(L10&gt;=Inputs!$C$10,L10&lt;Inputs!$C$11),Inputs!$H$10,IF(AND(L10&gt;=Inputs!$C$11,L10&lt;Inputs!$C$12),Inputs!$H$11,IF(AND(L10&gt;Inputs!$C$11,L10&lt;=Inputs!$C$20),Inputs!$H$12,)))</f>
        <v>1080000</v>
      </c>
      <c r="M17" s="21">
        <f>IF(AND(M10&gt;=Inputs!$C$10,M10&lt;Inputs!$C$11),Inputs!$H$10,IF(AND(M10&gt;=Inputs!$C$11,M10&lt;Inputs!$C$12),Inputs!$H$11,IF(AND(M10&gt;Inputs!$C$11,M10&lt;=Inputs!$C$20),Inputs!$H$12,)))</f>
        <v>1080000</v>
      </c>
      <c r="N17" s="21">
        <f>IF(AND(N10&gt;=Inputs!$C$10,N10&lt;Inputs!$C$11),Inputs!$H$10,IF(AND(N10&gt;=Inputs!$C$11,N10&lt;Inputs!$C$12),Inputs!$H$11,IF(AND(N10&gt;Inputs!$C$11,N10&lt;=Inputs!$C$20),Inputs!$H$12,)))</f>
        <v>1080000</v>
      </c>
      <c r="O17" s="21">
        <f>IF(AND(O10&gt;=Inputs!$C$10,O10&lt;Inputs!$C$11),Inputs!$H$10,IF(AND(O10&gt;=Inputs!$C$11,O10&lt;Inputs!$C$12),Inputs!$H$11,IF(AND(O10&gt;Inputs!$C$11,O10&lt;=Inputs!$C$20),Inputs!$H$12,)))</f>
        <v>2160000</v>
      </c>
      <c r="P17" s="21">
        <f>IF(AND(P10&gt;=Inputs!$C$10,P10&lt;Inputs!$C$11),Inputs!$H$10,IF(AND(P10&gt;=Inputs!$C$11,P10&lt;Inputs!$C$12),Inputs!$H$11,IF(AND(P10&gt;Inputs!$C$11,P10&lt;=Inputs!$C$20),Inputs!$H$12,)))</f>
        <v>2160000</v>
      </c>
      <c r="Q17" s="21">
        <f>IF(AND(Q10&gt;=Inputs!$C$10,Q10&lt;Inputs!$C$11),Inputs!$H$10,IF(AND(Q10&gt;=Inputs!$C$11,Q10&lt;Inputs!$C$12),Inputs!$H$11,IF(AND(Q10&gt;Inputs!$C$11,Q10&lt;=Inputs!$C$20),Inputs!$H$12,)))</f>
        <v>2160000</v>
      </c>
      <c r="R17" s="21">
        <f>IF(AND(R10&gt;=Inputs!$C$10,R10&lt;Inputs!$C$11),Inputs!$H$10,IF(AND(R10&gt;=Inputs!$C$11,R10&lt;Inputs!$C$12),Inputs!$H$11,IF(AND(R10&gt;Inputs!$C$11,R10&lt;=Inputs!$C$20),Inputs!$H$12,)))</f>
        <v>2160000</v>
      </c>
      <c r="S17" s="21">
        <f>IF(AND(S10&gt;=Inputs!$C$10,S10&lt;Inputs!$C$11),Inputs!$H$10,IF(AND(S10&gt;=Inputs!$C$11,S10&lt;Inputs!$C$12),Inputs!$H$11,IF(AND(S10&gt;Inputs!$C$11,S10&lt;=Inputs!$C$20),Inputs!$H$12,)))</f>
        <v>2160000</v>
      </c>
      <c r="T17" s="21">
        <f>IF(AND(T10&gt;=Inputs!$C$10,T10&lt;Inputs!$C$11),Inputs!$H$10,IF(AND(T10&gt;=Inputs!$C$11,T10&lt;Inputs!$C$12),Inputs!$H$11,IF(AND(T10&gt;Inputs!$C$11,T10&lt;=Inputs!$C$20),Inputs!$H$12,)))</f>
        <v>2160000</v>
      </c>
      <c r="U17" s="21">
        <f>IF(AND(U10&gt;=Inputs!$C$10,U10&lt;Inputs!$C$11),Inputs!$H$10,IF(AND(U10&gt;=Inputs!$C$11,U10&lt;Inputs!$C$12),Inputs!$H$11,IF(AND(U10&gt;Inputs!$C$11,U10&lt;=Inputs!$C$20),Inputs!$H$12,)))</f>
        <v>2160000</v>
      </c>
      <c r="V17" s="21">
        <f>IF(AND(V10&gt;=Inputs!$C$10,V10&lt;Inputs!$C$11),Inputs!$H$10,IF(AND(V10&gt;=Inputs!$C$11,V10&lt;Inputs!$C$12),Inputs!$H$11,IF(AND(V10&gt;Inputs!$C$11,V10&lt;=Inputs!$C$20),Inputs!$H$12,)))</f>
        <v>2160000</v>
      </c>
      <c r="W17" s="21">
        <f>IF(AND(W10&gt;=Inputs!$C$10,W10&lt;Inputs!$C$11),Inputs!$H$10,IF(AND(W10&gt;=Inputs!$C$11,W10&lt;Inputs!$C$12),Inputs!$H$11,IF(AND(W10&gt;Inputs!$C$11,W10&lt;=Inputs!$C$20),Inputs!$H$12,)))</f>
        <v>2160000</v>
      </c>
      <c r="X17" s="21">
        <f>IF(AND(X10&gt;=Inputs!$C$10,X10&lt;Inputs!$C$11),Inputs!$H$10,IF(AND(X10&gt;=Inputs!$C$11,X10&lt;Inputs!$C$12),Inputs!$H$11,IF(AND(X10&gt;Inputs!$C$11,X10&lt;=Inputs!$C$20),Inputs!$H$12,)))</f>
        <v>0</v>
      </c>
      <c r="Y17" s="21">
        <f>IF(AND(Y10&gt;=Inputs!$C$10,Y10&lt;Inputs!$C$11),Inputs!$H$10,IF(AND(Y10&gt;=Inputs!$C$11,Y10&lt;Inputs!$C$12),Inputs!$H$11,IF(AND(Y10&gt;Inputs!$C$11,Y10&lt;=Inputs!$C$20),Inputs!$H$12,)))</f>
        <v>0</v>
      </c>
      <c r="Z17" s="21">
        <f>IF(AND(Z10&gt;=Inputs!$C$10,Z10&lt;Inputs!$C$11),Inputs!$H$10,IF(AND(Z10&gt;=Inputs!$C$11,Z10&lt;Inputs!$C$12),Inputs!$H$11,IF(AND(Z10&gt;Inputs!$C$11,Z10&lt;=Inputs!$C$20),Inputs!$H$12,)))</f>
        <v>0</v>
      </c>
      <c r="AA17" s="21">
        <f>IF(AND(AA10&gt;=Inputs!$C$10,AA10&lt;Inputs!$C$11),Inputs!$H$10,IF(AND(AA10&gt;=Inputs!$C$11,AA10&lt;Inputs!$C$12),Inputs!$H$11,IF(AND(AA10&gt;Inputs!$C$11,AA10&lt;=Inputs!$C$20),Inputs!$H$12,)))</f>
        <v>0</v>
      </c>
      <c r="AB17" s="21">
        <f>IF(AND(AB10&gt;=Inputs!$C$10,AB10&lt;Inputs!$C$11),Inputs!$H$10,IF(AND(AB10&gt;=Inputs!$C$11,AB10&lt;Inputs!$C$12),Inputs!$H$11,IF(AND(AB10&gt;Inputs!$C$11,AB10&lt;=Inputs!$C$20),Inputs!$H$12,)))</f>
        <v>0</v>
      </c>
    </row>
    <row r="18" spans="2:28" ht="13.5" customHeight="1" x14ac:dyDescent="0.2">
      <c r="B18" s="64" t="s">
        <v>3</v>
      </c>
      <c r="C18" s="21"/>
      <c r="D18" s="21">
        <f>Inputs!H8</f>
        <v>25000</v>
      </c>
      <c r="E18" s="21">
        <f t="shared" ref="E18:AB18" si="1">E$11*D18</f>
        <v>25000</v>
      </c>
      <c r="F18" s="21">
        <f t="shared" si="1"/>
        <v>25000</v>
      </c>
      <c r="G18" s="21">
        <f t="shared" si="1"/>
        <v>25000</v>
      </c>
      <c r="H18" s="21">
        <f t="shared" si="1"/>
        <v>25000</v>
      </c>
      <c r="I18" s="21">
        <f t="shared" si="1"/>
        <v>25000</v>
      </c>
      <c r="J18" s="21">
        <f t="shared" si="1"/>
        <v>25000</v>
      </c>
      <c r="K18" s="21">
        <f t="shared" si="1"/>
        <v>25000</v>
      </c>
      <c r="L18" s="21">
        <f t="shared" si="1"/>
        <v>25000</v>
      </c>
      <c r="M18" s="21">
        <f t="shared" si="1"/>
        <v>25000</v>
      </c>
      <c r="N18" s="21">
        <f t="shared" si="1"/>
        <v>25000</v>
      </c>
      <c r="O18" s="21">
        <f t="shared" si="1"/>
        <v>25000</v>
      </c>
      <c r="P18" s="21">
        <f t="shared" si="1"/>
        <v>25000</v>
      </c>
      <c r="Q18" s="21">
        <f t="shared" si="1"/>
        <v>25000</v>
      </c>
      <c r="R18" s="21">
        <f t="shared" si="1"/>
        <v>25000</v>
      </c>
      <c r="S18" s="21">
        <f t="shared" si="1"/>
        <v>25000</v>
      </c>
      <c r="T18" s="21">
        <f t="shared" si="1"/>
        <v>25000</v>
      </c>
      <c r="U18" s="21">
        <f t="shared" si="1"/>
        <v>25000</v>
      </c>
      <c r="V18" s="21">
        <f t="shared" si="1"/>
        <v>25000</v>
      </c>
      <c r="W18" s="21">
        <f t="shared" si="1"/>
        <v>25000</v>
      </c>
      <c r="X18" s="21">
        <f t="shared" si="1"/>
        <v>0</v>
      </c>
      <c r="Y18" s="21">
        <f t="shared" si="1"/>
        <v>0</v>
      </c>
      <c r="Z18" s="21">
        <f t="shared" si="1"/>
        <v>0</v>
      </c>
      <c r="AA18" s="21">
        <f t="shared" si="1"/>
        <v>0</v>
      </c>
      <c r="AB18" s="21">
        <f t="shared" si="1"/>
        <v>0</v>
      </c>
    </row>
    <row r="19" spans="2:28" s="3" customFormat="1" ht="13.5" customHeight="1" x14ac:dyDescent="0.2">
      <c r="B19" s="66" t="s">
        <v>75</v>
      </c>
      <c r="C19" s="62"/>
      <c r="D19" s="152">
        <f>Inputs!H15+Inputs!H16</f>
        <v>0</v>
      </c>
      <c r="E19" s="152">
        <f>+Inputs!H15</f>
        <v>0</v>
      </c>
      <c r="F19" s="152">
        <f>'Option 1'!F$11*E19</f>
        <v>0</v>
      </c>
      <c r="G19" s="152">
        <f>'Option 1'!G$11*F19</f>
        <v>0</v>
      </c>
      <c r="H19" s="152">
        <f>'Option 1'!H$11*G19</f>
        <v>0</v>
      </c>
      <c r="I19" s="152">
        <f>'Option 1'!I$11*H19</f>
        <v>0</v>
      </c>
      <c r="J19" s="152">
        <f>'Option 1'!J$11*I19</f>
        <v>0</v>
      </c>
      <c r="K19" s="152">
        <f>'Option 1'!K$11*J19</f>
        <v>0</v>
      </c>
      <c r="L19" s="152">
        <f>'Option 1'!L$11*K19</f>
        <v>0</v>
      </c>
      <c r="M19" s="152">
        <f>'Option 1'!M$11*L19</f>
        <v>0</v>
      </c>
      <c r="N19" s="152">
        <f>'Option 1'!N$11*M19</f>
        <v>0</v>
      </c>
      <c r="O19" s="152">
        <f>'Option 1'!O$11*N19</f>
        <v>0</v>
      </c>
      <c r="P19" s="152">
        <f>'Option 1'!P$11*O19</f>
        <v>0</v>
      </c>
      <c r="Q19" s="152">
        <f>'Option 1'!Q$11*P19</f>
        <v>0</v>
      </c>
      <c r="R19" s="152">
        <f>'Option 1'!R$11*Q19</f>
        <v>0</v>
      </c>
      <c r="S19" s="152">
        <f>'Option 1'!S$11*R19</f>
        <v>0</v>
      </c>
      <c r="T19" s="152">
        <f>'Option 1'!T$11*S19</f>
        <v>0</v>
      </c>
      <c r="U19" s="152">
        <f>'Option 1'!U$11*T19</f>
        <v>0</v>
      </c>
      <c r="V19" s="152">
        <f>'Option 1'!V$11*U19</f>
        <v>0</v>
      </c>
      <c r="W19" s="152">
        <f>'Option 1'!W$11*V19</f>
        <v>0</v>
      </c>
      <c r="X19" s="152">
        <f>'Option 1'!X$11*W19</f>
        <v>0</v>
      </c>
      <c r="Y19" s="152">
        <f>'Option 1'!Y$11*X19</f>
        <v>0</v>
      </c>
      <c r="Z19" s="152">
        <f>'Option 1'!Z$11*Y19</f>
        <v>0</v>
      </c>
      <c r="AA19" s="152">
        <f>'Option 1'!AA$11*Z19</f>
        <v>0</v>
      </c>
      <c r="AB19" s="152">
        <f>'Option 1'!AB$11*AA19</f>
        <v>0</v>
      </c>
    </row>
    <row r="20" spans="2:28" s="3" customFormat="1" ht="13.5" customHeight="1" thickBot="1" x14ac:dyDescent="0.25">
      <c r="B20" s="65" t="s">
        <v>46</v>
      </c>
      <c r="C20" s="154">
        <f>SUM(C14:C19)</f>
        <v>900000</v>
      </c>
      <c r="D20" s="153">
        <f>SUM(D14:D19)</f>
        <v>8808333.3333333321</v>
      </c>
      <c r="E20" s="153">
        <f t="shared" ref="E20:AB20" si="2">SUM(E14:E19)</f>
        <v>8975000</v>
      </c>
      <c r="F20" s="153">
        <f t="shared" si="2"/>
        <v>9145000</v>
      </c>
      <c r="G20" s="153">
        <f t="shared" si="2"/>
        <v>9318400</v>
      </c>
      <c r="H20" s="153">
        <f t="shared" si="2"/>
        <v>9495268</v>
      </c>
      <c r="I20" s="153">
        <f t="shared" si="2"/>
        <v>10305673.359999999</v>
      </c>
      <c r="J20" s="153">
        <f t="shared" si="2"/>
        <v>10489686.827199999</v>
      </c>
      <c r="K20" s="153">
        <f t="shared" si="2"/>
        <v>10677380.563743999</v>
      </c>
      <c r="L20" s="153">
        <f t="shared" si="2"/>
        <v>10868828.175018879</v>
      </c>
      <c r="M20" s="153">
        <f t="shared" si="2"/>
        <v>11064104.738519257</v>
      </c>
      <c r="N20" s="153">
        <f t="shared" si="2"/>
        <v>11263286.833289642</v>
      </c>
      <c r="O20" s="153">
        <f t="shared" si="2"/>
        <v>12546452.569955435</v>
      </c>
      <c r="P20" s="153">
        <f t="shared" si="2"/>
        <v>12753681.621354543</v>
      </c>
      <c r="Q20" s="153">
        <f t="shared" si="2"/>
        <v>12965055.253781633</v>
      </c>
      <c r="R20" s="153">
        <f t="shared" si="2"/>
        <v>13180656.358857267</v>
      </c>
      <c r="S20" s="153">
        <f t="shared" si="2"/>
        <v>13400569.486034412</v>
      </c>
      <c r="T20" s="153">
        <f t="shared" si="2"/>
        <v>13624880.8757551</v>
      </c>
      <c r="U20" s="153">
        <f t="shared" si="2"/>
        <v>13853678.493270202</v>
      </c>
      <c r="V20" s="153">
        <f t="shared" si="2"/>
        <v>14087052.063135605</v>
      </c>
      <c r="W20" s="153">
        <f t="shared" si="2"/>
        <v>14010093.104398318</v>
      </c>
      <c r="X20" s="153">
        <f t="shared" si="2"/>
        <v>0</v>
      </c>
      <c r="Y20" s="153">
        <f t="shared" si="2"/>
        <v>0</v>
      </c>
      <c r="Z20" s="153">
        <f t="shared" si="2"/>
        <v>0</v>
      </c>
      <c r="AA20" s="153">
        <f t="shared" si="2"/>
        <v>0</v>
      </c>
      <c r="AB20" s="153">
        <f t="shared" si="2"/>
        <v>0</v>
      </c>
    </row>
    <row r="21" spans="2:28" ht="13.5" thickTop="1" x14ac:dyDescent="0.2">
      <c r="B21" s="6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2:28" ht="15" x14ac:dyDescent="0.25">
      <c r="B22" s="28" t="s">
        <v>62</v>
      </c>
      <c r="D22" s="146">
        <f>Fuel!E7</f>
        <v>300000</v>
      </c>
      <c r="E22" s="147">
        <f>E$11*D22</f>
        <v>300000</v>
      </c>
      <c r="F22" s="147">
        <f t="shared" ref="F22:AB22" si="3">F$11*E22</f>
        <v>300000</v>
      </c>
      <c r="G22" s="147">
        <f t="shared" si="3"/>
        <v>300000</v>
      </c>
      <c r="H22" s="147">
        <f t="shared" si="3"/>
        <v>300000</v>
      </c>
      <c r="I22" s="147">
        <f t="shared" si="3"/>
        <v>300000</v>
      </c>
      <c r="J22" s="147">
        <f t="shared" si="3"/>
        <v>300000</v>
      </c>
      <c r="K22" s="147">
        <f t="shared" si="3"/>
        <v>300000</v>
      </c>
      <c r="L22" s="147">
        <f t="shared" si="3"/>
        <v>300000</v>
      </c>
      <c r="M22" s="147">
        <f t="shared" si="3"/>
        <v>300000</v>
      </c>
      <c r="N22" s="147">
        <f t="shared" si="3"/>
        <v>300000</v>
      </c>
      <c r="O22" s="147">
        <f t="shared" si="3"/>
        <v>300000</v>
      </c>
      <c r="P22" s="147">
        <f t="shared" si="3"/>
        <v>300000</v>
      </c>
      <c r="Q22" s="147">
        <f t="shared" si="3"/>
        <v>300000</v>
      </c>
      <c r="R22" s="147">
        <f t="shared" si="3"/>
        <v>300000</v>
      </c>
      <c r="S22" s="147">
        <f t="shared" si="3"/>
        <v>300000</v>
      </c>
      <c r="T22" s="147">
        <f t="shared" si="3"/>
        <v>300000</v>
      </c>
      <c r="U22" s="147">
        <f t="shared" si="3"/>
        <v>300000</v>
      </c>
      <c r="V22" s="147">
        <f t="shared" si="3"/>
        <v>300000</v>
      </c>
      <c r="W22" s="147">
        <f t="shared" si="3"/>
        <v>300000</v>
      </c>
      <c r="X22" s="147">
        <f t="shared" si="3"/>
        <v>0</v>
      </c>
      <c r="Y22" s="147">
        <f t="shared" si="3"/>
        <v>0</v>
      </c>
      <c r="Z22" s="147">
        <f t="shared" si="3"/>
        <v>0</v>
      </c>
      <c r="AA22" s="147">
        <f t="shared" si="3"/>
        <v>0</v>
      </c>
      <c r="AB22" s="148">
        <f t="shared" si="3"/>
        <v>0</v>
      </c>
    </row>
    <row r="24" spans="2:28" x14ac:dyDescent="0.2">
      <c r="B24" s="198" t="s">
        <v>162</v>
      </c>
      <c r="C24" s="218"/>
      <c r="D24" s="220">
        <f t="shared" ref="D24:AB24" si="4">+D16+D17</f>
        <v>8783333.3333333321</v>
      </c>
      <c r="E24" s="221">
        <f t="shared" si="4"/>
        <v>8950000</v>
      </c>
      <c r="F24" s="221">
        <f t="shared" si="4"/>
        <v>9120000</v>
      </c>
      <c r="G24" s="221">
        <f t="shared" si="4"/>
        <v>9293400</v>
      </c>
      <c r="H24" s="221">
        <f t="shared" si="4"/>
        <v>9470268</v>
      </c>
      <c r="I24" s="221">
        <f t="shared" si="4"/>
        <v>10280673.359999999</v>
      </c>
      <c r="J24" s="221">
        <f t="shared" si="4"/>
        <v>10464686.827199999</v>
      </c>
      <c r="K24" s="221">
        <f t="shared" si="4"/>
        <v>10652380.563743999</v>
      </c>
      <c r="L24" s="221">
        <f t="shared" si="4"/>
        <v>10843828.175018879</v>
      </c>
      <c r="M24" s="221">
        <f t="shared" si="4"/>
        <v>11039104.738519257</v>
      </c>
      <c r="N24" s="221">
        <f t="shared" si="4"/>
        <v>11238286.833289642</v>
      </c>
      <c r="O24" s="221">
        <f t="shared" si="4"/>
        <v>12521452.569955435</v>
      </c>
      <c r="P24" s="221">
        <f t="shared" si="4"/>
        <v>12728681.621354543</v>
      </c>
      <c r="Q24" s="221">
        <f t="shared" si="4"/>
        <v>12940055.253781633</v>
      </c>
      <c r="R24" s="221">
        <f t="shared" si="4"/>
        <v>13155656.358857267</v>
      </c>
      <c r="S24" s="221">
        <f t="shared" si="4"/>
        <v>13375569.486034412</v>
      </c>
      <c r="T24" s="221">
        <f t="shared" si="4"/>
        <v>13599880.8757551</v>
      </c>
      <c r="U24" s="221">
        <f t="shared" si="4"/>
        <v>13828678.493270202</v>
      </c>
      <c r="V24" s="221">
        <f t="shared" si="4"/>
        <v>14062052.063135605</v>
      </c>
      <c r="W24" s="221">
        <f t="shared" si="4"/>
        <v>14300093.104398318</v>
      </c>
      <c r="X24" s="221">
        <f t="shared" si="4"/>
        <v>0</v>
      </c>
      <c r="Y24" s="221">
        <f t="shared" si="4"/>
        <v>0</v>
      </c>
      <c r="Z24" s="221">
        <f t="shared" si="4"/>
        <v>0</v>
      </c>
      <c r="AA24" s="221">
        <f t="shared" si="4"/>
        <v>0</v>
      </c>
      <c r="AB24" s="222">
        <f t="shared" si="4"/>
        <v>0</v>
      </c>
    </row>
    <row r="26" spans="2:28" ht="20.25" hidden="1" x14ac:dyDescent="0.3">
      <c r="B26" s="37" t="s">
        <v>70</v>
      </c>
      <c r="C26" s="37"/>
    </row>
    <row r="27" spans="2:28" hidden="1" x14ac:dyDescent="0.2">
      <c r="F27" s="157"/>
      <c r="K27" s="34"/>
    </row>
    <row r="28" spans="2:28" ht="15.75" hidden="1" x14ac:dyDescent="0.25">
      <c r="B28" s="4"/>
      <c r="C28" s="36"/>
      <c r="D28" s="4"/>
      <c r="E28" s="35"/>
      <c r="F28" s="39"/>
      <c r="K28" s="41"/>
    </row>
    <row r="29" spans="2:28" ht="15.75" hidden="1" x14ac:dyDescent="0.25">
      <c r="B29" s="4"/>
      <c r="C29" s="36" t="s">
        <v>68</v>
      </c>
      <c r="D29" s="41">
        <v>1</v>
      </c>
      <c r="E29" s="35"/>
      <c r="F29" s="61">
        <f>G8</f>
        <v>36.538463941641965</v>
      </c>
      <c r="G29" s="38"/>
      <c r="H29" s="223">
        <v>0.2</v>
      </c>
      <c r="I29" s="224" t="s">
        <v>159</v>
      </c>
      <c r="J29" s="224" t="s">
        <v>160</v>
      </c>
      <c r="K29" s="41"/>
    </row>
    <row r="30" spans="2:28" ht="15.75" hidden="1" x14ac:dyDescent="0.25">
      <c r="B30" s="4"/>
      <c r="C30" s="36"/>
      <c r="D30" s="38" t="s">
        <v>67</v>
      </c>
      <c r="E30" s="121">
        <f>C20*0.9</f>
        <v>810000</v>
      </c>
      <c r="F30" s="109">
        <f t="dataTable" ref="F30:F31" dt2D="0" dtr="0" r1="C20" ca="1"/>
        <v>36.510584739128333</v>
      </c>
      <c r="G30" s="40"/>
      <c r="K30" s="41"/>
    </row>
    <row r="31" spans="2:28" ht="15.75" hidden="1" x14ac:dyDescent="0.25">
      <c r="B31" s="4"/>
      <c r="C31" s="36"/>
      <c r="D31" s="38" t="s">
        <v>66</v>
      </c>
      <c r="E31" s="122">
        <f>C20*1.2</f>
        <v>1080000</v>
      </c>
      <c r="F31" s="109">
        <v>36.560767303652867</v>
      </c>
      <c r="G31" s="40"/>
      <c r="H31" s="225">
        <f>-0.2*(NPV(Inputs!C19,D24:AB24)+(C24))</f>
        <v>-23373885.387751698</v>
      </c>
      <c r="I31" s="226">
        <f>+H31+G6</f>
        <v>-141327824.46259773</v>
      </c>
      <c r="J31" s="226">
        <f>+G6-H31</f>
        <v>-94580053.687094316</v>
      </c>
    </row>
    <row r="32" spans="2:28" ht="15.75" hidden="1" x14ac:dyDescent="0.25">
      <c r="B32" s="4"/>
      <c r="C32" s="36"/>
      <c r="D32" s="38"/>
      <c r="E32" s="122"/>
      <c r="F32" s="109"/>
      <c r="G32" s="40"/>
      <c r="H32" s="227">
        <f>0.2*NPV(Inputs!C19,D22:AB22)+C22</f>
        <v>645642.57141864626</v>
      </c>
      <c r="I32" s="226">
        <f>+H32+G7</f>
        <v>3873855.4285118775</v>
      </c>
      <c r="J32" s="228">
        <f>+G7-H32</f>
        <v>2582570.285674585</v>
      </c>
    </row>
    <row r="33" spans="2:10" ht="15.75" hidden="1" x14ac:dyDescent="0.25">
      <c r="B33" s="4"/>
      <c r="C33" s="36"/>
      <c r="D33" s="4"/>
      <c r="E33" s="123"/>
      <c r="F33" s="109"/>
      <c r="G33" s="40"/>
      <c r="I33" s="26">
        <f>-I31/I32</f>
        <v>36.482472583363318</v>
      </c>
      <c r="J33" s="26">
        <f>-J31/J32</f>
        <v>36.622450979059941</v>
      </c>
    </row>
    <row r="34" spans="2:10" ht="15.75" hidden="1" x14ac:dyDescent="0.25">
      <c r="B34" s="4"/>
      <c r="C34" s="36" t="s">
        <v>69</v>
      </c>
      <c r="D34" s="34">
        <v>1</v>
      </c>
      <c r="E34" s="43"/>
      <c r="F34" s="40">
        <f>G8</f>
        <v>36.538463941641965</v>
      </c>
      <c r="G34" s="40"/>
      <c r="H34" s="26"/>
      <c r="I34" s="26"/>
    </row>
    <row r="35" spans="2:10" ht="15.75" hidden="1" x14ac:dyDescent="0.25">
      <c r="B35" s="4"/>
      <c r="C35" s="36"/>
      <c r="D35" s="38" t="s">
        <v>67</v>
      </c>
      <c r="E35" s="120">
        <f>(D16+D17)*0.9</f>
        <v>7904999.9999999991</v>
      </c>
      <c r="F35" s="40">
        <f t="dataTable" ref="F35:F36" dt2D="0" dtr="0" r1="D16" ca="1"/>
        <v>34.876143817904136</v>
      </c>
      <c r="G35" s="40"/>
    </row>
    <row r="36" spans="2:10" ht="15.75" hidden="1" x14ac:dyDescent="0.25">
      <c r="B36" s="114"/>
      <c r="C36" s="36"/>
      <c r="D36" s="38" t="s">
        <v>66</v>
      </c>
      <c r="E36" s="120">
        <f>(D16+D17)*1.2</f>
        <v>10539999.999999998</v>
      </c>
      <c r="F36" s="61">
        <v>43.1075391076659</v>
      </c>
      <c r="G36" s="40"/>
    </row>
    <row r="37" spans="2:10" ht="15.75" hidden="1" x14ac:dyDescent="0.25">
      <c r="C37" s="36"/>
      <c r="D37" s="38"/>
      <c r="E37" s="120"/>
      <c r="F37" s="61"/>
      <c r="G37" s="40"/>
    </row>
    <row r="38" spans="2:10" ht="15.75" hidden="1" x14ac:dyDescent="0.25">
      <c r="B38" s="3"/>
      <c r="C38" s="36"/>
      <c r="D38" s="38"/>
      <c r="E38" s="120"/>
      <c r="F38" s="61"/>
      <c r="G38" s="39"/>
    </row>
    <row r="39" spans="2:10" ht="15.75" hidden="1" x14ac:dyDescent="0.25">
      <c r="C39" s="36" t="s">
        <v>3</v>
      </c>
      <c r="D39" s="34">
        <v>1</v>
      </c>
      <c r="E39" s="120"/>
      <c r="F39" s="61">
        <f>G8</f>
        <v>36.538463941641965</v>
      </c>
      <c r="G39" s="39"/>
    </row>
    <row r="40" spans="2:10" hidden="1" x14ac:dyDescent="0.2">
      <c r="D40" s="38" t="s">
        <v>67</v>
      </c>
      <c r="E40" s="120">
        <f>D18*0.9</f>
        <v>22500</v>
      </c>
      <c r="F40" s="61">
        <f t="dataTable" ref="F40:F41" dt2D="0" dtr="0" r1="D18" ca="1"/>
        <v>36.530130608308639</v>
      </c>
      <c r="G40" s="40"/>
    </row>
    <row r="41" spans="2:10" hidden="1" x14ac:dyDescent="0.2">
      <c r="D41" s="38" t="s">
        <v>66</v>
      </c>
      <c r="E41" s="120">
        <f>D18*1.2</f>
        <v>30000</v>
      </c>
      <c r="F41" s="61">
        <v>36.545130608308639</v>
      </c>
      <c r="G41" s="40"/>
      <c r="H41" s="26"/>
    </row>
    <row r="42" spans="2:10" hidden="1" x14ac:dyDescent="0.2">
      <c r="C42" s="4"/>
      <c r="D42" s="43"/>
      <c r="E42" s="61"/>
      <c r="F42" s="40"/>
      <c r="G42" s="26"/>
    </row>
    <row r="43" spans="2:10" x14ac:dyDescent="0.2">
      <c r="D43" s="4"/>
      <c r="E43" s="42"/>
      <c r="F43" s="109"/>
      <c r="G43" s="39"/>
      <c r="H43" s="26"/>
    </row>
    <row r="44" spans="2:10" x14ac:dyDescent="0.2">
      <c r="D44" s="4"/>
      <c r="E44" s="38"/>
      <c r="F44" s="109"/>
      <c r="G44" s="39"/>
    </row>
    <row r="45" spans="2:10" x14ac:dyDescent="0.2">
      <c r="E45" s="38"/>
      <c r="F45" s="109"/>
      <c r="G45" s="40"/>
    </row>
  </sheetData>
  <sheetProtection sheet="1" objects="1" scenarios="1" selectLockedCells="1" selectUnlockedCells="1"/>
  <pageMargins left="0.74803149606299213" right="0.74803149606299213" top="0.78" bottom="0.49" header="0.33" footer="0.28000000000000003"/>
  <pageSetup paperSize="8" scale="58" orientation="landscape" r:id="rId1"/>
  <headerFooter alignWithMargins="0">
    <oddHeader>&amp;R&amp;G</oddHeader>
    <oddFooter>&amp;L&amp;8&amp;F / &amp;A
Prepared by Energy for Industry&amp;R&amp;8Printed &amp;D &amp;T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6">
    <tabColor indexed="28"/>
    <pageSetUpPr fitToPage="1"/>
  </sheetPr>
  <dimension ref="B2:AB45"/>
  <sheetViews>
    <sheetView topLeftCell="A8" zoomScaleNormal="100" workbookViewId="0">
      <selection activeCell="B15" sqref="B15"/>
    </sheetView>
  </sheetViews>
  <sheetFormatPr defaultRowHeight="12.75" x14ac:dyDescent="0.2"/>
  <cols>
    <col min="1" max="1" width="4" customWidth="1"/>
    <col min="2" max="2" width="42.7109375" customWidth="1"/>
    <col min="3" max="3" width="17.85546875" customWidth="1"/>
    <col min="4" max="5" width="14.7109375" customWidth="1"/>
    <col min="6" max="6" width="19" customWidth="1"/>
    <col min="7" max="7" width="19.85546875" bestFit="1" customWidth="1"/>
    <col min="8" max="18" width="14.7109375" customWidth="1"/>
    <col min="19" max="23" width="15.140625" bestFit="1" customWidth="1"/>
    <col min="24" max="27" width="14.42578125" customWidth="1"/>
    <col min="28" max="28" width="15.7109375" bestFit="1" customWidth="1"/>
  </cols>
  <sheetData>
    <row r="2" spans="2:28" s="1" customFormat="1" ht="21" x14ac:dyDescent="0.35">
      <c r="B2" s="91" t="s">
        <v>77</v>
      </c>
      <c r="D2" s="2"/>
    </row>
    <row r="3" spans="2:28" s="1" customFormat="1" ht="21" x14ac:dyDescent="0.35">
      <c r="B3" s="91" t="s">
        <v>78</v>
      </c>
      <c r="C3" s="5"/>
      <c r="D3"/>
      <c r="E3"/>
      <c r="F3"/>
      <c r="G3"/>
    </row>
    <row r="4" spans="2:28" ht="21" x14ac:dyDescent="0.35">
      <c r="B4" s="96" t="s">
        <v>84</v>
      </c>
      <c r="C4" s="91" t="str">
        <f>+Capital!H5</f>
        <v>Electricity (direct use)</v>
      </c>
      <c r="D4" s="6"/>
    </row>
    <row r="5" spans="2:28" x14ac:dyDescent="0.2">
      <c r="B5" s="6"/>
      <c r="C5" s="67"/>
      <c r="D5" s="7"/>
    </row>
    <row r="6" spans="2:28" x14ac:dyDescent="0.2">
      <c r="B6" s="6"/>
      <c r="C6" s="67"/>
      <c r="D6" s="7"/>
      <c r="E6" s="44" t="s">
        <v>61</v>
      </c>
      <c r="F6" s="46"/>
      <c r="G6" s="230">
        <f>-(NPV(Inputs!C19,D20:AB20)+(C20))</f>
        <v>-98719882.600941658</v>
      </c>
    </row>
    <row r="7" spans="2:28" x14ac:dyDescent="0.2">
      <c r="B7" s="6"/>
      <c r="C7" s="67"/>
      <c r="D7" s="7"/>
      <c r="E7" s="44" t="s">
        <v>60</v>
      </c>
      <c r="F7" s="45"/>
      <c r="G7" s="231">
        <f>NPV(Inputs!C19,D22:AB22)</f>
        <v>3228212.8570932313</v>
      </c>
    </row>
    <row r="8" spans="2:28" x14ac:dyDescent="0.2">
      <c r="B8" s="6"/>
      <c r="C8" s="67"/>
      <c r="D8" s="7"/>
      <c r="E8" s="312" t="s">
        <v>57</v>
      </c>
      <c r="F8" s="312"/>
      <c r="G8" s="232">
        <f>-G6/G7</f>
        <v>30.58035110170265</v>
      </c>
    </row>
    <row r="9" spans="2:28" ht="15" customHeight="1" x14ac:dyDescent="0.2">
      <c r="B9" s="63"/>
      <c r="C9" s="8"/>
      <c r="D9" s="7"/>
    </row>
    <row r="10" spans="2:28" ht="12" customHeight="1" x14ac:dyDescent="0.2">
      <c r="B10" s="10" t="s">
        <v>0</v>
      </c>
      <c r="C10" s="11">
        <v>0</v>
      </c>
      <c r="D10" s="12">
        <f t="shared" ref="D10:AB10" si="0">C10+1</f>
        <v>1</v>
      </c>
      <c r="E10" s="11">
        <f t="shared" si="0"/>
        <v>2</v>
      </c>
      <c r="F10" s="11">
        <f t="shared" si="0"/>
        <v>3</v>
      </c>
      <c r="G10" s="11">
        <f t="shared" si="0"/>
        <v>4</v>
      </c>
      <c r="H10" s="11">
        <f t="shared" si="0"/>
        <v>5</v>
      </c>
      <c r="I10" s="11">
        <f t="shared" si="0"/>
        <v>6</v>
      </c>
      <c r="J10" s="11">
        <f t="shared" si="0"/>
        <v>7</v>
      </c>
      <c r="K10" s="11">
        <f t="shared" si="0"/>
        <v>8</v>
      </c>
      <c r="L10" s="11">
        <f t="shared" si="0"/>
        <v>9</v>
      </c>
      <c r="M10" s="11">
        <f t="shared" si="0"/>
        <v>10</v>
      </c>
      <c r="N10" s="11">
        <f t="shared" si="0"/>
        <v>11</v>
      </c>
      <c r="O10" s="11">
        <f t="shared" si="0"/>
        <v>12</v>
      </c>
      <c r="P10" s="11">
        <f t="shared" si="0"/>
        <v>13</v>
      </c>
      <c r="Q10" s="11">
        <f t="shared" si="0"/>
        <v>14</v>
      </c>
      <c r="R10" s="11">
        <f t="shared" si="0"/>
        <v>15</v>
      </c>
      <c r="S10" s="11">
        <f t="shared" si="0"/>
        <v>16</v>
      </c>
      <c r="T10" s="11">
        <f t="shared" si="0"/>
        <v>17</v>
      </c>
      <c r="U10" s="11">
        <f t="shared" si="0"/>
        <v>18</v>
      </c>
      <c r="V10" s="11">
        <f t="shared" si="0"/>
        <v>19</v>
      </c>
      <c r="W10" s="11">
        <f t="shared" si="0"/>
        <v>20</v>
      </c>
      <c r="X10" s="11">
        <f t="shared" si="0"/>
        <v>21</v>
      </c>
      <c r="Y10" s="11">
        <f t="shared" si="0"/>
        <v>22</v>
      </c>
      <c r="Z10" s="11">
        <f t="shared" si="0"/>
        <v>23</v>
      </c>
      <c r="AA10" s="11">
        <f t="shared" si="0"/>
        <v>24</v>
      </c>
      <c r="AB10" s="11">
        <f t="shared" si="0"/>
        <v>25</v>
      </c>
    </row>
    <row r="11" spans="2:28" s="4" customFormat="1" ht="12" customHeight="1" x14ac:dyDescent="0.2">
      <c r="B11" s="71" t="s">
        <v>6</v>
      </c>
      <c r="C11" s="14"/>
      <c r="D11" s="15">
        <f>IF(D10&gt;Inputs!$C$20,0,1)</f>
        <v>1</v>
      </c>
      <c r="E11" s="15">
        <f>IF(E10&gt;Inputs!$C$20,0,1)</f>
        <v>1</v>
      </c>
      <c r="F11" s="15">
        <f>IF(F10&gt;Inputs!$C$20,0,1)</f>
        <v>1</v>
      </c>
      <c r="G11" s="15">
        <f>IF(G10&gt;Inputs!$C$20,0,1)</f>
        <v>1</v>
      </c>
      <c r="H11" s="15">
        <f>IF(H10&gt;Inputs!$C$20,0,1)</f>
        <v>1</v>
      </c>
      <c r="I11" s="15">
        <f>IF(I10&gt;Inputs!$C$20,0,1)</f>
        <v>1</v>
      </c>
      <c r="J11" s="15">
        <f>IF(J10&gt;Inputs!$C$20,0,1)</f>
        <v>1</v>
      </c>
      <c r="K11" s="15">
        <f>IF(K10&gt;Inputs!$C$20,0,1)</f>
        <v>1</v>
      </c>
      <c r="L11" s="15">
        <f>IF(L10&gt;Inputs!$C$20,0,1)</f>
        <v>1</v>
      </c>
      <c r="M11" s="15">
        <f>IF(M10&gt;Inputs!$C$20,0,1)</f>
        <v>1</v>
      </c>
      <c r="N11" s="15">
        <f>IF(N10&gt;Inputs!$C$20,0,1)</f>
        <v>1</v>
      </c>
      <c r="O11" s="15">
        <f>IF(O10&gt;Inputs!$C$20,0,1)</f>
        <v>1</v>
      </c>
      <c r="P11" s="15">
        <f>IF(P10&gt;Inputs!$C$20,0,1)</f>
        <v>1</v>
      </c>
      <c r="Q11" s="15">
        <f>IF(Q10&gt;Inputs!$C$20,0,1)</f>
        <v>1</v>
      </c>
      <c r="R11" s="15">
        <f>IF(R10&gt;Inputs!$C$20,0,1)</f>
        <v>1</v>
      </c>
      <c r="S11" s="15">
        <f>IF(S10&gt;Inputs!$C$20,0,1)</f>
        <v>1</v>
      </c>
      <c r="T11" s="15">
        <f>IF(T10&gt;Inputs!$C$20,0,1)</f>
        <v>1</v>
      </c>
      <c r="U11" s="15">
        <f>IF(U10&gt;Inputs!$C$20,0,1)</f>
        <v>1</v>
      </c>
      <c r="V11" s="15">
        <f>IF(V10&gt;Inputs!$C$20,0,1)</f>
        <v>1</v>
      </c>
      <c r="W11" s="15">
        <f>IF(W10&gt;Inputs!$C$20,0,1)</f>
        <v>1</v>
      </c>
      <c r="X11" s="15">
        <f>IF(X10&gt;Inputs!$C$20,0,1)</f>
        <v>0</v>
      </c>
      <c r="Y11" s="15">
        <f>IF(Y10&gt;Inputs!$C$20,0,1)</f>
        <v>0</v>
      </c>
      <c r="Z11" s="15">
        <f>IF(Z10&gt;Inputs!$C$20,0,1)</f>
        <v>0</v>
      </c>
      <c r="AA11" s="15">
        <f>IF(AA10&gt;Inputs!$C$20,0,1)</f>
        <v>0</v>
      </c>
      <c r="AB11" s="15">
        <f>IF(AB10&gt;Inputs!$C$20,0,1)</f>
        <v>0</v>
      </c>
    </row>
    <row r="12" spans="2:28" ht="12" customHeight="1" x14ac:dyDescent="0.2"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2:28" ht="15" customHeight="1" x14ac:dyDescent="0.2">
      <c r="B13" s="19" t="s">
        <v>59</v>
      </c>
      <c r="C13" s="20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2:28" ht="13.5" customHeight="1" x14ac:dyDescent="0.2">
      <c r="B14" s="64" t="s">
        <v>5</v>
      </c>
      <c r="C14" s="22">
        <f>Inputs!I7</f>
        <v>600000</v>
      </c>
      <c r="D14" s="22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2:28" ht="13.5" customHeight="1" x14ac:dyDescent="0.2">
      <c r="B15" s="64" t="s">
        <v>49</v>
      </c>
      <c r="C15" s="21"/>
      <c r="D15" s="21">
        <f>-IF(Inputs!$C$20=D10,Inputs!$H$14*$C$14,0)</f>
        <v>0</v>
      </c>
      <c r="E15" s="21">
        <f>-IF(Inputs!$C$20=E10,Inputs!$H$14*$C$14,0)</f>
        <v>0</v>
      </c>
      <c r="F15" s="21">
        <f>-IF(Inputs!$C$20=F10,Inputs!$H$14*$C$14,0)</f>
        <v>0</v>
      </c>
      <c r="G15" s="21">
        <f>-IF(Inputs!$C$20=G10,Inputs!$H$14*$C$14,0)</f>
        <v>0</v>
      </c>
      <c r="H15" s="21">
        <f>-IF(Inputs!$C$20=H10,Inputs!$H$14*$C$14,0)</f>
        <v>0</v>
      </c>
      <c r="I15" s="21">
        <f>-IF(Inputs!$C$20=I10,Inputs!$H$14*$C$14,0)</f>
        <v>0</v>
      </c>
      <c r="J15" s="21">
        <f>-IF(Inputs!$C$20=J10,Inputs!$H$14*$C$14,0)</f>
        <v>0</v>
      </c>
      <c r="K15" s="21">
        <f>-IF(Inputs!$C$20=K10,Inputs!$H$14*$C$14,0)</f>
        <v>0</v>
      </c>
      <c r="L15" s="21">
        <f>-IF(Inputs!$C$20=L10,Inputs!$H$14*$C$14,0)</f>
        <v>0</v>
      </c>
      <c r="M15" s="21">
        <f>-IF(Inputs!$C$20=M10,Inputs!$H$14*$C$14,0)</f>
        <v>0</v>
      </c>
      <c r="N15" s="21">
        <f>-IF(Inputs!$C$20=N10,Inputs!$H$14*$C$14,0)</f>
        <v>0</v>
      </c>
      <c r="O15" s="21">
        <f>-IF(Inputs!$C$20=O10,Inputs!$H$14*$C$14,0)</f>
        <v>0</v>
      </c>
      <c r="P15" s="21">
        <f>-IF(Inputs!$C$20=P10,Inputs!$H$14*$C$14,0)</f>
        <v>0</v>
      </c>
      <c r="Q15" s="21">
        <f>-IF(Inputs!$C$20=Q10,Inputs!$H$14*$C$14,0)</f>
        <v>0</v>
      </c>
      <c r="R15" s="21">
        <f>-IF(Inputs!$C$20=R10,Inputs!$H$14*$C$14,0)</f>
        <v>0</v>
      </c>
      <c r="S15" s="21">
        <f>-IF(Inputs!$C$20=S10,Inputs!$H$14*$C$14,0)</f>
        <v>0</v>
      </c>
      <c r="T15" s="21">
        <f>-IF(Inputs!$C$20=T10,Inputs!$H$14*$C$14,0)</f>
        <v>0</v>
      </c>
      <c r="U15" s="21">
        <f>-IF(Inputs!$C$20=U10,Inputs!$H$14*$C$14,0)</f>
        <v>0</v>
      </c>
      <c r="V15" s="21">
        <f>-IF(Inputs!$C$20=V10,Inputs!$H$14*$C$14,0)</f>
        <v>0</v>
      </c>
      <c r="W15" s="21">
        <f>-IF(Inputs!$C$20=W10,Inputs!$H$14*$C$14,0)</f>
        <v>-210000</v>
      </c>
      <c r="X15" s="21">
        <f>-IF(Inputs!$C$20=X10,Inputs!$H$14*$C$14,0)</f>
        <v>0</v>
      </c>
      <c r="Y15" s="21">
        <f>-IF(Inputs!$C$20=Y10,Inputs!$H$14*$C$14,0)</f>
        <v>0</v>
      </c>
      <c r="Z15" s="21">
        <f>-IF(Inputs!$C$20=Z10,Inputs!$H$14*$C$14,0)</f>
        <v>0</v>
      </c>
      <c r="AA15" s="21">
        <f>-IF(Inputs!$C$20=AA10,Inputs!$H$14*$C$14,0)</f>
        <v>0</v>
      </c>
      <c r="AB15" s="21">
        <f>-IF(Inputs!$C$20=AB10,Inputs!$H$14*$C$14,0)</f>
        <v>0</v>
      </c>
    </row>
    <row r="16" spans="2:28" ht="13.5" customHeight="1" x14ac:dyDescent="0.2">
      <c r="B16" s="64" t="s">
        <v>45</v>
      </c>
      <c r="C16" s="21"/>
      <c r="D16" s="21">
        <f>Inputs!I9</f>
        <v>6122448.9795918372</v>
      </c>
      <c r="E16" s="21">
        <f>E$11*D16*((Inputs!$I$13)+1)</f>
        <v>6428571.4285714291</v>
      </c>
      <c r="F16" s="21">
        <f>F$11*E16*((Inputs!$I$13)+1)</f>
        <v>6750000.0000000009</v>
      </c>
      <c r="G16" s="21">
        <f>G$11*F16*((Inputs!$I$13)+1)</f>
        <v>7087500.0000000009</v>
      </c>
      <c r="H16" s="21">
        <f>H$11*G16*((Inputs!$I$13)+1)</f>
        <v>7441875.0000000009</v>
      </c>
      <c r="I16" s="21">
        <f>I$11*H16*((Inputs!$I$13)+1)</f>
        <v>7813968.7500000009</v>
      </c>
      <c r="J16" s="21">
        <f>J$11*I16*((Inputs!$I$13)+1)</f>
        <v>8204667.1875000009</v>
      </c>
      <c r="K16" s="21">
        <f>K$11*J16*((Inputs!$I$13)+1)</f>
        <v>8614900.5468750019</v>
      </c>
      <c r="L16" s="21">
        <f>L$11*K16*((Inputs!$I$13)+1)</f>
        <v>9045645.5742187519</v>
      </c>
      <c r="M16" s="21">
        <f>M$11*L16*((Inputs!$I$13)+1)</f>
        <v>9497927.852929689</v>
      </c>
      <c r="N16" s="21">
        <f>N$11*M16*((Inputs!$I$13)+1)</f>
        <v>9972824.2455761731</v>
      </c>
      <c r="O16" s="21">
        <f>O$11*N16*((Inputs!$I$13)+1)</f>
        <v>10471465.457854982</v>
      </c>
      <c r="P16" s="21">
        <f>P$11*O16*((Inputs!$I$13)+1)</f>
        <v>10995038.730747731</v>
      </c>
      <c r="Q16" s="21">
        <f>Q$11*P16*((Inputs!$I$13)+1)</f>
        <v>11544790.667285118</v>
      </c>
      <c r="R16" s="21">
        <f>R$11*Q16*((Inputs!$I$13)+1)</f>
        <v>12122030.200649375</v>
      </c>
      <c r="S16" s="21">
        <f>S$11*R16*((Inputs!$I$13)+1)</f>
        <v>12728131.710681845</v>
      </c>
      <c r="T16" s="21">
        <f>T$11*S16*((Inputs!$I$13)+1)</f>
        <v>13364538.296215937</v>
      </c>
      <c r="U16" s="21">
        <f>U$11*T16*((Inputs!$I$13)+1)</f>
        <v>14032765.211026734</v>
      </c>
      <c r="V16" s="21">
        <f>V$11*U16*((Inputs!$I$13)+1)</f>
        <v>14734403.471578071</v>
      </c>
      <c r="W16" s="21">
        <f>W$11*V16*((Inputs!$I$13)+1)</f>
        <v>15471123.645156976</v>
      </c>
      <c r="X16" s="21">
        <f>X$11*W16*((Inputs!$I$13)+1)</f>
        <v>0</v>
      </c>
      <c r="Y16" s="21">
        <f>Y$11*X16*((Inputs!$I$13)+1)</f>
        <v>0</v>
      </c>
      <c r="Z16" s="21">
        <f>Z$11*Y16*((Inputs!$I$13)+1)</f>
        <v>0</v>
      </c>
      <c r="AA16" s="21">
        <f>AA$11*Z16*((Inputs!$I$13)+1)</f>
        <v>0</v>
      </c>
      <c r="AB16" s="21">
        <f>AB$11*AA16*((Inputs!$I$13)+1)</f>
        <v>0</v>
      </c>
    </row>
    <row r="17" spans="2:28" ht="13.5" customHeight="1" x14ac:dyDescent="0.2">
      <c r="B17" s="194" t="s">
        <v>144</v>
      </c>
      <c r="C17" s="103"/>
      <c r="D17" s="21">
        <f>IF(AND(D10&gt;=Inputs!$C$10,D10&lt;Inputs!$C$11),Inputs!$I$10,IF(AND(D10&gt;=Inputs!$C$11,D10&lt;Inputs!$C$12),Inputs!$I$11,IF(AND(D10&gt;Inputs!$C$11,D10&lt;=Inputs!$C$20),Inputs!$I$12,)))</f>
        <v>0</v>
      </c>
      <c r="E17" s="21">
        <f>IF(AND(E10&gt;=Inputs!$C$10,E10&lt;Inputs!$C$11),Inputs!$I$10,IF(AND(E10&gt;=Inputs!$C$11,E10&lt;Inputs!$C$12),Inputs!$I$11,IF(AND(E10&gt;Inputs!$C$11,E10&lt;=Inputs!$C$20),Inputs!$I$12,)))</f>
        <v>0</v>
      </c>
      <c r="F17" s="21">
        <f>IF(AND(F10&gt;=Inputs!$C$10,F10&lt;Inputs!$C$11),Inputs!$I$10,IF(AND(F10&gt;=Inputs!$C$11,F10&lt;Inputs!$C$12),Inputs!$I$11,IF(AND(F10&gt;Inputs!$C$11,F10&lt;=Inputs!$C$20),Inputs!$I$12,)))</f>
        <v>0</v>
      </c>
      <c r="G17" s="21">
        <f>IF(AND(G10&gt;=Inputs!$C$10,G10&lt;Inputs!$C$11),Inputs!$I$10,IF(AND(G10&gt;=Inputs!$C$11,G10&lt;Inputs!$C$12),Inputs!$I$11,IF(AND(G10&gt;Inputs!$C$11,G10&lt;=Inputs!$C$20),Inputs!$I$12,)))</f>
        <v>0</v>
      </c>
      <c r="H17" s="21">
        <f>IF(AND(H10&gt;=Inputs!$C$10,H10&lt;Inputs!$C$11),Inputs!$I$10,IF(AND(H10&gt;=Inputs!$C$11,H10&lt;Inputs!$C$12),Inputs!$I$11,IF(AND(H10&gt;Inputs!$C$11,H10&lt;=Inputs!$C$20),Inputs!$I$12,)))</f>
        <v>0</v>
      </c>
      <c r="I17" s="21">
        <f>IF(AND(I10&gt;=Inputs!$C$10,I10&lt;Inputs!$C$11),Inputs!$I$10,IF(AND(I10&gt;=Inputs!$C$11,I10&lt;Inputs!$C$12),Inputs!$I$11,IF(AND(I10&gt;Inputs!$C$11,I10&lt;=Inputs!$C$20),Inputs!$I$12,)))</f>
        <v>0</v>
      </c>
      <c r="J17" s="21">
        <f>IF(AND(J10&gt;=Inputs!$C$10,J10&lt;Inputs!$C$11),Inputs!$I$10,IF(AND(J10&gt;=Inputs!$C$11,J10&lt;Inputs!$C$12),Inputs!$I$11,IF(AND(J10&gt;Inputs!$C$11,J10&lt;=Inputs!$C$20),Inputs!$I$12,)))</f>
        <v>0</v>
      </c>
      <c r="K17" s="21">
        <f>IF(AND(K10&gt;=Inputs!$C$10,K10&lt;Inputs!$C$11),Inputs!$I$10,IF(AND(K10&gt;=Inputs!$C$11,K10&lt;Inputs!$C$12),Inputs!$I$11,IF(AND(K10&gt;Inputs!$C$11,K10&lt;=Inputs!$C$20),Inputs!$I$12,)))</f>
        <v>0</v>
      </c>
      <c r="L17" s="21">
        <f>IF(AND(L10&gt;=Inputs!$C$10,L10&lt;Inputs!$C$11),Inputs!$I$10,IF(AND(L10&gt;=Inputs!$C$11,L10&lt;Inputs!$C$12),Inputs!$I$11,IF(AND(L10&gt;Inputs!$C$11,L10&lt;=Inputs!$C$20),Inputs!$I$12,)))</f>
        <v>0</v>
      </c>
      <c r="M17" s="21">
        <f>IF(AND(M10&gt;=Inputs!$C$10,M10&lt;Inputs!$C$11),Inputs!$I$10,IF(AND(M10&gt;=Inputs!$C$11,M10&lt;Inputs!$C$12),Inputs!$I$11,IF(AND(M10&gt;Inputs!$C$11,M10&lt;=Inputs!$C$20),Inputs!$I$12,)))</f>
        <v>0</v>
      </c>
      <c r="N17" s="21">
        <f>IF(AND(N10&gt;=Inputs!$C$10,N10&lt;Inputs!$C$11),Inputs!$I$10,IF(AND(N10&gt;=Inputs!$C$11,N10&lt;Inputs!$C$12),Inputs!$I$11,IF(AND(N10&gt;Inputs!$C$11,N10&lt;=Inputs!$C$20),Inputs!$I$12,)))</f>
        <v>0</v>
      </c>
      <c r="O17" s="21">
        <f>IF(AND(O10&gt;=Inputs!$C$10,O10&lt;Inputs!$C$11),Inputs!$I$10,IF(AND(O10&gt;=Inputs!$C$11,O10&lt;Inputs!$C$12),Inputs!$I$11,IF(AND(O10&gt;Inputs!$C$11,O10&lt;=Inputs!$C$20),Inputs!$I$12,)))</f>
        <v>0</v>
      </c>
      <c r="P17" s="21">
        <f>IF(AND(P10&gt;=Inputs!$C$10,P10&lt;Inputs!$C$11),Inputs!$I$10,IF(AND(P10&gt;=Inputs!$C$11,P10&lt;Inputs!$C$12),Inputs!$I$11,IF(AND(P10&gt;Inputs!$C$11,P10&lt;=Inputs!$C$20),Inputs!$I$12,)))</f>
        <v>0</v>
      </c>
      <c r="Q17" s="21">
        <f>IF(AND(Q10&gt;=Inputs!$C$10,Q10&lt;Inputs!$C$11),Inputs!$I$10,IF(AND(Q10&gt;=Inputs!$C$11,Q10&lt;Inputs!$C$12),Inputs!$I$11,IF(AND(Q10&gt;Inputs!$C$11,Q10&lt;=Inputs!$C$20),Inputs!$I$12,)))</f>
        <v>0</v>
      </c>
      <c r="R17" s="21">
        <f>IF(AND(R10&gt;=Inputs!$C$10,R10&lt;Inputs!$C$11),Inputs!$I$10,IF(AND(R10&gt;=Inputs!$C$11,R10&lt;Inputs!$C$12),Inputs!$I$11,IF(AND(R10&gt;Inputs!$C$11,R10&lt;=Inputs!$C$20),Inputs!$I$12,)))</f>
        <v>0</v>
      </c>
      <c r="S17" s="21">
        <f>IF(AND(S10&gt;=Inputs!$C$10,S10&lt;Inputs!$C$11),Inputs!$I$10,IF(AND(S10&gt;=Inputs!$C$11,S10&lt;Inputs!$C$12),Inputs!$I$11,IF(AND(S10&gt;Inputs!$C$11,S10&lt;=Inputs!$C$20),Inputs!$I$12,)))</f>
        <v>0</v>
      </c>
      <c r="T17" s="21">
        <f>IF(AND(T10&gt;=Inputs!$C$10,T10&lt;Inputs!$C$11),Inputs!$I$10,IF(AND(T10&gt;=Inputs!$C$11,T10&lt;Inputs!$C$12),Inputs!$I$11,IF(AND(T10&gt;Inputs!$C$11,T10&lt;=Inputs!$C$20),Inputs!$I$12,)))</f>
        <v>0</v>
      </c>
      <c r="U17" s="21">
        <f>IF(AND(U10&gt;=Inputs!$C$10,U10&lt;Inputs!$C$11),Inputs!$I$10,IF(AND(U10&gt;=Inputs!$C$11,U10&lt;Inputs!$C$12),Inputs!$I$11,IF(AND(U10&gt;Inputs!$C$11,U10&lt;=Inputs!$C$20),Inputs!$I$12,)))</f>
        <v>0</v>
      </c>
      <c r="V17" s="21">
        <f>IF(AND(V10&gt;=Inputs!$C$10,V10&lt;Inputs!$C$11),Inputs!$I$10,IF(AND(V10&gt;=Inputs!$C$11,V10&lt;Inputs!$C$12),Inputs!$I$11,IF(AND(V10&gt;Inputs!$C$11,V10&lt;=Inputs!$C$20),Inputs!$I$12,)))</f>
        <v>0</v>
      </c>
      <c r="W17" s="21">
        <f>IF(AND(W10&gt;=Inputs!$C$10,W10&lt;Inputs!$C$11),Inputs!$I$10,IF(AND(W10&gt;=Inputs!$C$11,W10&lt;Inputs!$C$12),Inputs!$I$11,IF(AND(W10&gt;Inputs!$C$11,W10&lt;=Inputs!$C$20),Inputs!$I$12,)))</f>
        <v>0</v>
      </c>
      <c r="X17" s="21">
        <f>IF(AND(X10&gt;=Inputs!$C$10,X10&lt;Inputs!$C$11),Inputs!$I$10,IF(AND(X10&gt;=Inputs!$C$11,X10&lt;Inputs!$C$12),Inputs!$I$11,IF(AND(X10&gt;Inputs!$C$11,X10&lt;=Inputs!$C$20),Inputs!$I$12,)))</f>
        <v>0</v>
      </c>
      <c r="Y17" s="21">
        <f>IF(AND(Y10&gt;=Inputs!$C$10,Y10&lt;Inputs!$C$11),Inputs!$I$10,IF(AND(Y10&gt;=Inputs!$C$11,Y10&lt;Inputs!$C$12),Inputs!$I$11,IF(AND(Y10&gt;Inputs!$C$11,Y10&lt;=Inputs!$C$20),Inputs!$I$12,)))</f>
        <v>0</v>
      </c>
      <c r="Z17" s="21">
        <f>IF(AND(Z10&gt;=Inputs!$C$10,Z10&lt;Inputs!$C$11),Inputs!$I$10,IF(AND(Z10&gt;=Inputs!$C$11,Z10&lt;Inputs!$C$12),Inputs!$I$11,IF(AND(Z10&gt;Inputs!$C$11,Z10&lt;=Inputs!$C$20),Inputs!$I$12,)))</f>
        <v>0</v>
      </c>
      <c r="AA17" s="21">
        <f>IF(AND(AA10&gt;=Inputs!$C$10,AA10&lt;Inputs!$C$11),Inputs!$I$10,IF(AND(AA10&gt;=Inputs!$C$11,AA10&lt;Inputs!$C$12),Inputs!$I$11,IF(AND(AA10&gt;Inputs!$C$11,AA10&lt;=Inputs!$C$20),Inputs!$I$12,)))</f>
        <v>0</v>
      </c>
      <c r="AB17" s="21">
        <f>IF(AND(AB10&gt;=Inputs!$C$10,AB10&lt;Inputs!$C$11),Inputs!$I$10,IF(AND(AB10&gt;=Inputs!$C$11,AB10&lt;Inputs!$C$12),Inputs!$I$11,IF(AND(AB10&gt;Inputs!$C$11,AB10&lt;=Inputs!$C$20),Inputs!$I$12,)))</f>
        <v>0</v>
      </c>
    </row>
    <row r="18" spans="2:28" ht="13.5" customHeight="1" x14ac:dyDescent="0.2">
      <c r="B18" s="64" t="s">
        <v>3</v>
      </c>
      <c r="C18" s="21"/>
      <c r="D18" s="21">
        <f>Inputs!I8</f>
        <v>14000</v>
      </c>
      <c r="E18" s="21">
        <f t="shared" ref="E18:O18" si="1">E$11*D18</f>
        <v>14000</v>
      </c>
      <c r="F18" s="21">
        <f t="shared" si="1"/>
        <v>14000</v>
      </c>
      <c r="G18" s="21">
        <f t="shared" si="1"/>
        <v>14000</v>
      </c>
      <c r="H18" s="21">
        <f t="shared" si="1"/>
        <v>14000</v>
      </c>
      <c r="I18" s="21">
        <f t="shared" si="1"/>
        <v>14000</v>
      </c>
      <c r="J18" s="21">
        <f t="shared" si="1"/>
        <v>14000</v>
      </c>
      <c r="K18" s="21">
        <f t="shared" si="1"/>
        <v>14000</v>
      </c>
      <c r="L18" s="21">
        <f t="shared" si="1"/>
        <v>14000</v>
      </c>
      <c r="M18" s="21">
        <f t="shared" si="1"/>
        <v>14000</v>
      </c>
      <c r="N18" s="21">
        <f t="shared" si="1"/>
        <v>14000</v>
      </c>
      <c r="O18" s="21">
        <f t="shared" si="1"/>
        <v>14000</v>
      </c>
      <c r="P18" s="21">
        <f t="shared" ref="P18" si="2">P$11*O18</f>
        <v>14000</v>
      </c>
      <c r="Q18" s="21">
        <f t="shared" ref="Q18" si="3">Q$11*P18</f>
        <v>14000</v>
      </c>
      <c r="R18" s="21">
        <f t="shared" ref="R18" si="4">R$11*Q18</f>
        <v>14000</v>
      </c>
      <c r="S18" s="21">
        <f t="shared" ref="S18" si="5">S$11*R18</f>
        <v>14000</v>
      </c>
      <c r="T18" s="21">
        <f t="shared" ref="T18" si="6">T$11*S18</f>
        <v>14000</v>
      </c>
      <c r="U18" s="21">
        <f t="shared" ref="U18" si="7">U$11*T18</f>
        <v>14000</v>
      </c>
      <c r="V18" s="21">
        <f t="shared" ref="V18" si="8">V$11*U18</f>
        <v>14000</v>
      </c>
      <c r="W18" s="21">
        <f t="shared" ref="W18" si="9">W$11*V18</f>
        <v>14000</v>
      </c>
      <c r="X18" s="21">
        <f t="shared" ref="X18" si="10">X$11*W18</f>
        <v>0</v>
      </c>
      <c r="Y18" s="21">
        <f t="shared" ref="Y18" si="11">Y$11*X18</f>
        <v>0</v>
      </c>
      <c r="Z18" s="21">
        <f t="shared" ref="Z18" si="12">Z$11*Y18</f>
        <v>0</v>
      </c>
      <c r="AA18" s="21">
        <f t="shared" ref="AA18" si="13">AA$11*Z18</f>
        <v>0</v>
      </c>
      <c r="AB18" s="21">
        <f t="shared" ref="AB18" si="14">AB$11*AA18</f>
        <v>0</v>
      </c>
    </row>
    <row r="19" spans="2:28" s="3" customFormat="1" ht="13.5" customHeight="1" x14ac:dyDescent="0.2">
      <c r="B19" s="66" t="s">
        <v>75</v>
      </c>
      <c r="C19" s="62"/>
      <c r="D19" s="152">
        <f>Inputs!I15+Inputs!I16</f>
        <v>0</v>
      </c>
      <c r="E19" s="152">
        <f>+Inputs!I15</f>
        <v>0</v>
      </c>
      <c r="F19" s="152">
        <f>'Option 1'!F$11*E19</f>
        <v>0</v>
      </c>
      <c r="G19" s="152">
        <f>'Option 1'!G$11*F19</f>
        <v>0</v>
      </c>
      <c r="H19" s="152">
        <f>'Option 1'!H$11*G19</f>
        <v>0</v>
      </c>
      <c r="I19" s="152">
        <f>'Option 1'!I$11*H19</f>
        <v>0</v>
      </c>
      <c r="J19" s="152">
        <f>'Option 1'!J$11*I19</f>
        <v>0</v>
      </c>
      <c r="K19" s="152">
        <f>'Option 1'!K$11*J19</f>
        <v>0</v>
      </c>
      <c r="L19" s="152">
        <f>'Option 1'!L$11*K19</f>
        <v>0</v>
      </c>
      <c r="M19" s="152">
        <f>'Option 1'!M$11*L19</f>
        <v>0</v>
      </c>
      <c r="N19" s="152">
        <f>'Option 1'!N$11*M19</f>
        <v>0</v>
      </c>
      <c r="O19" s="152">
        <f>'Option 1'!O$11*N19</f>
        <v>0</v>
      </c>
      <c r="P19" s="152">
        <f>'Option 1'!P$11*O19</f>
        <v>0</v>
      </c>
      <c r="Q19" s="152">
        <f>'Option 1'!Q$11*P19</f>
        <v>0</v>
      </c>
      <c r="R19" s="152">
        <f>'Option 1'!R$11*Q19</f>
        <v>0</v>
      </c>
      <c r="S19" s="152">
        <f>'Option 1'!S$11*R19</f>
        <v>0</v>
      </c>
      <c r="T19" s="152">
        <f>'Option 1'!T$11*S19</f>
        <v>0</v>
      </c>
      <c r="U19" s="152">
        <f>'Option 1'!U$11*T19</f>
        <v>0</v>
      </c>
      <c r="V19" s="152">
        <f>'Option 1'!V$11*U19</f>
        <v>0</v>
      </c>
      <c r="W19" s="152">
        <f>'Option 1'!W$11*V19</f>
        <v>0</v>
      </c>
      <c r="X19" s="152">
        <f>'Option 1'!X$11*W19</f>
        <v>0</v>
      </c>
      <c r="Y19" s="152">
        <f>'Option 1'!Y$11*X19</f>
        <v>0</v>
      </c>
      <c r="Z19" s="152">
        <f>'Option 1'!Z$11*Y19</f>
        <v>0</v>
      </c>
      <c r="AA19" s="152">
        <f>'Option 1'!AA$11*Z19</f>
        <v>0</v>
      </c>
      <c r="AB19" s="152">
        <f>'Option 1'!AB$11*AA19</f>
        <v>0</v>
      </c>
    </row>
    <row r="20" spans="2:28" s="3" customFormat="1" ht="13.5" customHeight="1" thickBot="1" x14ac:dyDescent="0.25">
      <c r="B20" s="65" t="s">
        <v>46</v>
      </c>
      <c r="C20" s="154">
        <f>SUM(C14:C19)</f>
        <v>600000</v>
      </c>
      <c r="D20" s="153">
        <f>SUM(D14:D19)</f>
        <v>6136448.9795918372</v>
      </c>
      <c r="E20" s="153">
        <f t="shared" ref="E20:AB20" si="15">SUM(E14:E19)</f>
        <v>6442571.4285714291</v>
      </c>
      <c r="F20" s="153">
        <f t="shared" si="15"/>
        <v>6764000.0000000009</v>
      </c>
      <c r="G20" s="153">
        <f t="shared" si="15"/>
        <v>7101500.0000000009</v>
      </c>
      <c r="H20" s="153">
        <f t="shared" si="15"/>
        <v>7455875.0000000009</v>
      </c>
      <c r="I20" s="153">
        <f t="shared" si="15"/>
        <v>7827968.7500000009</v>
      </c>
      <c r="J20" s="153">
        <f t="shared" si="15"/>
        <v>8218667.1875000009</v>
      </c>
      <c r="K20" s="153">
        <f t="shared" si="15"/>
        <v>8628900.5468750019</v>
      </c>
      <c r="L20" s="153">
        <f t="shared" si="15"/>
        <v>9059645.5742187519</v>
      </c>
      <c r="M20" s="153">
        <f t="shared" si="15"/>
        <v>9511927.852929689</v>
      </c>
      <c r="N20" s="153">
        <f t="shared" si="15"/>
        <v>9986824.2455761731</v>
      </c>
      <c r="O20" s="153">
        <f t="shared" si="15"/>
        <v>10485465.457854982</v>
      </c>
      <c r="P20" s="153">
        <f t="shared" si="15"/>
        <v>11009038.730747731</v>
      </c>
      <c r="Q20" s="153">
        <f t="shared" si="15"/>
        <v>11558790.667285118</v>
      </c>
      <c r="R20" s="153">
        <f t="shared" si="15"/>
        <v>12136030.200649375</v>
      </c>
      <c r="S20" s="153">
        <f t="shared" si="15"/>
        <v>12742131.710681845</v>
      </c>
      <c r="T20" s="153">
        <f t="shared" si="15"/>
        <v>13378538.296215937</v>
      </c>
      <c r="U20" s="153">
        <f t="shared" si="15"/>
        <v>14046765.211026734</v>
      </c>
      <c r="V20" s="153">
        <f t="shared" si="15"/>
        <v>14748403.471578071</v>
      </c>
      <c r="W20" s="153">
        <f t="shared" si="15"/>
        <v>15275123.645156976</v>
      </c>
      <c r="X20" s="153">
        <f t="shared" si="15"/>
        <v>0</v>
      </c>
      <c r="Y20" s="153">
        <f t="shared" si="15"/>
        <v>0</v>
      </c>
      <c r="Z20" s="153">
        <f t="shared" si="15"/>
        <v>0</v>
      </c>
      <c r="AA20" s="153">
        <f t="shared" si="15"/>
        <v>0</v>
      </c>
      <c r="AB20" s="153">
        <f t="shared" si="15"/>
        <v>0</v>
      </c>
    </row>
    <row r="21" spans="2:28" ht="13.5" thickTop="1" x14ac:dyDescent="0.2">
      <c r="B21" s="6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2:28" ht="15" x14ac:dyDescent="0.25">
      <c r="B22" s="28" t="s">
        <v>62</v>
      </c>
      <c r="D22" s="146">
        <f>Fuel!E7</f>
        <v>300000</v>
      </c>
      <c r="E22" s="147">
        <f>E$11*D22</f>
        <v>300000</v>
      </c>
      <c r="F22" s="147">
        <f t="shared" ref="F22:AB22" si="16">F$11*E22</f>
        <v>300000</v>
      </c>
      <c r="G22" s="147">
        <f t="shared" si="16"/>
        <v>300000</v>
      </c>
      <c r="H22" s="147">
        <f t="shared" si="16"/>
        <v>300000</v>
      </c>
      <c r="I22" s="147">
        <f t="shared" si="16"/>
        <v>300000</v>
      </c>
      <c r="J22" s="147">
        <f t="shared" si="16"/>
        <v>300000</v>
      </c>
      <c r="K22" s="147">
        <f t="shared" si="16"/>
        <v>300000</v>
      </c>
      <c r="L22" s="147">
        <f t="shared" si="16"/>
        <v>300000</v>
      </c>
      <c r="M22" s="147">
        <f t="shared" si="16"/>
        <v>300000</v>
      </c>
      <c r="N22" s="147">
        <f t="shared" si="16"/>
        <v>300000</v>
      </c>
      <c r="O22" s="147">
        <f t="shared" si="16"/>
        <v>300000</v>
      </c>
      <c r="P22" s="147">
        <f t="shared" si="16"/>
        <v>300000</v>
      </c>
      <c r="Q22" s="147">
        <f t="shared" si="16"/>
        <v>300000</v>
      </c>
      <c r="R22" s="147">
        <f t="shared" si="16"/>
        <v>300000</v>
      </c>
      <c r="S22" s="147">
        <f t="shared" si="16"/>
        <v>300000</v>
      </c>
      <c r="T22" s="147">
        <f t="shared" si="16"/>
        <v>300000</v>
      </c>
      <c r="U22" s="147">
        <f t="shared" si="16"/>
        <v>300000</v>
      </c>
      <c r="V22" s="147">
        <f t="shared" si="16"/>
        <v>300000</v>
      </c>
      <c r="W22" s="147">
        <f t="shared" si="16"/>
        <v>300000</v>
      </c>
      <c r="X22" s="147">
        <f t="shared" si="16"/>
        <v>0</v>
      </c>
      <c r="Y22" s="147">
        <f t="shared" si="16"/>
        <v>0</v>
      </c>
      <c r="Z22" s="147">
        <f t="shared" si="16"/>
        <v>0</v>
      </c>
      <c r="AA22" s="147">
        <f t="shared" si="16"/>
        <v>0</v>
      </c>
      <c r="AB22" s="148">
        <f t="shared" si="16"/>
        <v>0</v>
      </c>
    </row>
    <row r="24" spans="2:28" x14ac:dyDescent="0.2">
      <c r="B24" s="198" t="s">
        <v>162</v>
      </c>
      <c r="C24" s="218"/>
      <c r="D24" s="220">
        <f t="shared" ref="D24:AB24" si="17">+D16+D17</f>
        <v>6122448.9795918372</v>
      </c>
      <c r="E24" s="221">
        <f t="shared" si="17"/>
        <v>6428571.4285714291</v>
      </c>
      <c r="F24" s="221">
        <f t="shared" si="17"/>
        <v>6750000.0000000009</v>
      </c>
      <c r="G24" s="221">
        <f t="shared" si="17"/>
        <v>7087500.0000000009</v>
      </c>
      <c r="H24" s="221">
        <f t="shared" si="17"/>
        <v>7441875.0000000009</v>
      </c>
      <c r="I24" s="221">
        <f t="shared" si="17"/>
        <v>7813968.7500000009</v>
      </c>
      <c r="J24" s="221">
        <f t="shared" si="17"/>
        <v>8204667.1875000009</v>
      </c>
      <c r="K24" s="221">
        <f t="shared" si="17"/>
        <v>8614900.5468750019</v>
      </c>
      <c r="L24" s="221">
        <f t="shared" si="17"/>
        <v>9045645.5742187519</v>
      </c>
      <c r="M24" s="221">
        <f t="shared" si="17"/>
        <v>9497927.852929689</v>
      </c>
      <c r="N24" s="221">
        <f t="shared" si="17"/>
        <v>9972824.2455761731</v>
      </c>
      <c r="O24" s="221">
        <f t="shared" si="17"/>
        <v>10471465.457854982</v>
      </c>
      <c r="P24" s="221">
        <f t="shared" si="17"/>
        <v>10995038.730747731</v>
      </c>
      <c r="Q24" s="221">
        <f t="shared" si="17"/>
        <v>11544790.667285118</v>
      </c>
      <c r="R24" s="221">
        <f t="shared" si="17"/>
        <v>12122030.200649375</v>
      </c>
      <c r="S24" s="221">
        <f t="shared" si="17"/>
        <v>12728131.710681845</v>
      </c>
      <c r="T24" s="221">
        <f t="shared" si="17"/>
        <v>13364538.296215937</v>
      </c>
      <c r="U24" s="221">
        <f t="shared" si="17"/>
        <v>14032765.211026734</v>
      </c>
      <c r="V24" s="221">
        <f t="shared" si="17"/>
        <v>14734403.471578071</v>
      </c>
      <c r="W24" s="221">
        <f t="shared" si="17"/>
        <v>15471123.645156976</v>
      </c>
      <c r="X24" s="221">
        <f t="shared" si="17"/>
        <v>0</v>
      </c>
      <c r="Y24" s="221">
        <f t="shared" si="17"/>
        <v>0</v>
      </c>
      <c r="Z24" s="221">
        <f t="shared" si="17"/>
        <v>0</v>
      </c>
      <c r="AA24" s="221">
        <f t="shared" si="17"/>
        <v>0</v>
      </c>
      <c r="AB24" s="222">
        <f t="shared" si="17"/>
        <v>0</v>
      </c>
    </row>
    <row r="26" spans="2:28" ht="20.25" hidden="1" x14ac:dyDescent="0.3">
      <c r="B26" s="37" t="s">
        <v>70</v>
      </c>
      <c r="C26" s="37"/>
    </row>
    <row r="27" spans="2:28" hidden="1" x14ac:dyDescent="0.2">
      <c r="K27" s="34"/>
    </row>
    <row r="28" spans="2:28" ht="15.75" hidden="1" x14ac:dyDescent="0.25">
      <c r="B28" s="4"/>
      <c r="C28" s="36"/>
      <c r="D28" s="4"/>
      <c r="E28" s="35"/>
      <c r="K28" s="41"/>
    </row>
    <row r="29" spans="2:28" ht="15.75" hidden="1" x14ac:dyDescent="0.25">
      <c r="B29" s="4"/>
      <c r="C29" s="36" t="s">
        <v>68</v>
      </c>
      <c r="D29" s="41">
        <v>1</v>
      </c>
      <c r="E29" s="35"/>
      <c r="F29" s="61">
        <f>G8</f>
        <v>30.58035110170265</v>
      </c>
      <c r="G29" s="38"/>
      <c r="H29" s="223">
        <v>0.2</v>
      </c>
      <c r="I29" s="224" t="s">
        <v>159</v>
      </c>
      <c r="J29" s="224" t="s">
        <v>160</v>
      </c>
      <c r="K29" s="41"/>
    </row>
    <row r="30" spans="2:28" ht="15.75" hidden="1" x14ac:dyDescent="0.25">
      <c r="B30" s="4"/>
      <c r="C30" s="36"/>
      <c r="D30" s="38" t="s">
        <v>67</v>
      </c>
      <c r="E30" s="121">
        <f>C20*0.9</f>
        <v>540000</v>
      </c>
      <c r="F30" s="109">
        <f t="dataTable" ref="F30:F31" dt2D="0" dtr="0" r1="C20" ca="1"/>
        <v>30.561764966693566</v>
      </c>
      <c r="G30" s="40"/>
      <c r="K30" s="41"/>
    </row>
    <row r="31" spans="2:28" ht="15.75" hidden="1" x14ac:dyDescent="0.25">
      <c r="B31" s="4"/>
      <c r="C31" s="36"/>
      <c r="D31" s="38" t="s">
        <v>66</v>
      </c>
      <c r="E31" s="122">
        <f>C20*1.2</f>
        <v>720000</v>
      </c>
      <c r="F31" s="109">
        <v>30.595220009709919</v>
      </c>
      <c r="G31" s="40"/>
      <c r="H31" s="225">
        <f>-0.2*(NPV(Inputs!C19,D24:AB24)+(C24))</f>
        <v>-19605113.9471226</v>
      </c>
      <c r="I31" s="226">
        <f>+H31+G6</f>
        <v>-118324996.54806426</v>
      </c>
      <c r="J31" s="226">
        <f>+G6-H31</f>
        <v>-79114768.653819054</v>
      </c>
    </row>
    <row r="32" spans="2:28" ht="15.75" hidden="1" x14ac:dyDescent="0.25">
      <c r="B32" s="4"/>
      <c r="C32" s="36"/>
      <c r="D32" s="38"/>
      <c r="E32" s="122"/>
      <c r="F32" s="109"/>
      <c r="G32" s="40"/>
      <c r="H32" s="227">
        <f>0.2*NPV(Inputs!C19,D22:AB22)+C22</f>
        <v>645642.57141864626</v>
      </c>
      <c r="I32" s="226">
        <f>+H32+G7</f>
        <v>3873855.4285118775</v>
      </c>
      <c r="J32" s="228">
        <f>+G7-H32</f>
        <v>2582570.285674585</v>
      </c>
    </row>
    <row r="33" spans="2:10" ht="15.75" hidden="1" x14ac:dyDescent="0.25">
      <c r="B33" s="4"/>
      <c r="C33" s="36"/>
      <c r="D33" s="4"/>
      <c r="E33" s="123"/>
      <c r="F33" s="109"/>
      <c r="G33" s="40"/>
      <c r="I33" s="26">
        <f>-I31/I32</f>
        <v>30.544505010998364</v>
      </c>
      <c r="J33" s="26">
        <f>-J31/J32</f>
        <v>30.634120237759081</v>
      </c>
    </row>
    <row r="34" spans="2:10" ht="15.75" hidden="1" x14ac:dyDescent="0.25">
      <c r="B34" s="4"/>
      <c r="C34" s="36" t="s">
        <v>69</v>
      </c>
      <c r="D34" s="34">
        <v>1</v>
      </c>
      <c r="E34" s="43"/>
      <c r="F34" s="40">
        <f>G8</f>
        <v>30.58035110170265</v>
      </c>
      <c r="G34" s="40"/>
      <c r="H34" s="26"/>
      <c r="I34" s="26"/>
    </row>
    <row r="35" spans="2:10" ht="15.75" hidden="1" x14ac:dyDescent="0.25">
      <c r="B35" s="4"/>
      <c r="C35" s="36"/>
      <c r="D35" s="38" t="s">
        <v>67</v>
      </c>
      <c r="E35" s="120">
        <f>D16*0.9</f>
        <v>5510204.0816326533</v>
      </c>
      <c r="F35" s="40">
        <f t="dataTable" ref="F35:F36" dt2D="0" dtr="0" r1="D16" ca="1"/>
        <v>27.543823645954959</v>
      </c>
      <c r="G35" s="40"/>
    </row>
    <row r="36" spans="2:10" ht="15.75" hidden="1" x14ac:dyDescent="0.25">
      <c r="B36" s="114"/>
      <c r="C36" s="36"/>
      <c r="D36" s="38" t="s">
        <v>66</v>
      </c>
      <c r="E36" s="120">
        <f>D16*1.2</f>
        <v>7346938.775510204</v>
      </c>
      <c r="F36" s="61">
        <v>33.009573066300817</v>
      </c>
      <c r="G36" s="40"/>
    </row>
    <row r="37" spans="2:10" ht="15.75" hidden="1" x14ac:dyDescent="0.25">
      <c r="C37" s="36"/>
      <c r="D37" s="38"/>
      <c r="E37" s="120"/>
      <c r="F37" s="61"/>
      <c r="G37" s="40"/>
    </row>
    <row r="38" spans="2:10" ht="15.75" hidden="1" x14ac:dyDescent="0.25">
      <c r="B38" s="3"/>
      <c r="C38" s="36"/>
      <c r="D38" s="38"/>
      <c r="E38" s="120"/>
      <c r="F38" s="61"/>
      <c r="G38" s="39"/>
    </row>
    <row r="39" spans="2:10" ht="15.75" hidden="1" x14ac:dyDescent="0.25">
      <c r="C39" s="36" t="s">
        <v>3</v>
      </c>
      <c r="D39" s="34">
        <v>1</v>
      </c>
      <c r="E39" s="120"/>
      <c r="F39" s="61">
        <f>G8</f>
        <v>30.58035110170265</v>
      </c>
      <c r="G39" s="39"/>
    </row>
    <row r="40" spans="2:10" hidden="1" x14ac:dyDescent="0.2">
      <c r="D40" s="38" t="s">
        <v>67</v>
      </c>
      <c r="E40" s="120">
        <f>D18*0.9</f>
        <v>12600</v>
      </c>
      <c r="F40" s="61">
        <f t="dataTable" ref="F40:F41" dt2D="0" dtr="0" r1="D18" ca="1"/>
        <v>30.575684435035981</v>
      </c>
      <c r="G40" s="40"/>
    </row>
    <row r="41" spans="2:10" hidden="1" x14ac:dyDescent="0.2">
      <c r="D41" s="38" t="s">
        <v>66</v>
      </c>
      <c r="E41" s="120">
        <f>D18*1.2</f>
        <v>16800</v>
      </c>
      <c r="F41" s="61">
        <v>30.584084435035983</v>
      </c>
      <c r="G41" s="40"/>
      <c r="H41" s="26"/>
    </row>
    <row r="42" spans="2:10" hidden="1" x14ac:dyDescent="0.2">
      <c r="C42" s="40"/>
      <c r="D42" s="26"/>
    </row>
    <row r="43" spans="2:10" x14ac:dyDescent="0.2">
      <c r="C43" s="39"/>
      <c r="D43" s="26"/>
    </row>
    <row r="44" spans="2:10" x14ac:dyDescent="0.2">
      <c r="C44" s="39"/>
    </row>
    <row r="45" spans="2:10" x14ac:dyDescent="0.2">
      <c r="C45" s="40"/>
    </row>
  </sheetData>
  <sheetProtection selectLockedCells="1" selectUnlockedCells="1"/>
  <mergeCells count="1">
    <mergeCell ref="E8:F8"/>
  </mergeCells>
  <pageMargins left="0.74803149606299213" right="0.74803149606299213" top="0.78" bottom="0.49" header="0.33" footer="0.28000000000000003"/>
  <pageSetup paperSize="8" scale="58" orientation="landscape" r:id="rId1"/>
  <headerFooter alignWithMargins="0">
    <oddHeader>&amp;R&amp;G</oddHeader>
    <oddFooter>&amp;L&amp;8&amp;F / &amp;A
Prepared by Energy for Industry&amp;R&amp;8Printed &amp;D &amp;T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8">
    <tabColor indexed="28"/>
    <pageSetUpPr fitToPage="1"/>
  </sheetPr>
  <dimension ref="B2:AB43"/>
  <sheetViews>
    <sheetView zoomScaleNormal="100" workbookViewId="0">
      <selection activeCell="J6" sqref="J6"/>
    </sheetView>
  </sheetViews>
  <sheetFormatPr defaultRowHeight="12.75" x14ac:dyDescent="0.2"/>
  <cols>
    <col min="1" max="1" width="4" customWidth="1"/>
    <col min="2" max="2" width="42.7109375" customWidth="1"/>
    <col min="3" max="3" width="17.85546875" customWidth="1"/>
    <col min="4" max="5" width="14.7109375" customWidth="1"/>
    <col min="6" max="6" width="19" customWidth="1"/>
    <col min="7" max="7" width="19.85546875" bestFit="1" customWidth="1"/>
    <col min="8" max="18" width="14.7109375" customWidth="1"/>
    <col min="19" max="23" width="15.140625" bestFit="1" customWidth="1"/>
    <col min="24" max="27" width="14.42578125" customWidth="1"/>
    <col min="28" max="28" width="15.7109375" bestFit="1" customWidth="1"/>
  </cols>
  <sheetData>
    <row r="2" spans="2:28" s="1" customFormat="1" ht="23.1" customHeight="1" x14ac:dyDescent="0.35">
      <c r="B2" s="91" t="s">
        <v>77</v>
      </c>
      <c r="D2" s="2"/>
    </row>
    <row r="3" spans="2:28" s="1" customFormat="1" ht="23.1" customHeight="1" x14ac:dyDescent="0.35">
      <c r="B3" s="91" t="s">
        <v>78</v>
      </c>
      <c r="C3" s="5"/>
      <c r="D3"/>
      <c r="E3"/>
      <c r="F3"/>
      <c r="G3"/>
      <c r="H3"/>
      <c r="I3"/>
      <c r="J3"/>
    </row>
    <row r="4" spans="2:28" ht="23.1" customHeight="1" x14ac:dyDescent="0.35">
      <c r="B4" s="96" t="s">
        <v>85</v>
      </c>
      <c r="C4" s="91" t="str">
        <f>+Capital!I5</f>
        <v>Electricity (heat pump)</v>
      </c>
    </row>
    <row r="5" spans="2:28" x14ac:dyDescent="0.2">
      <c r="B5" s="6"/>
      <c r="C5" s="67"/>
      <c r="D5" s="7"/>
    </row>
    <row r="6" spans="2:28" x14ac:dyDescent="0.2">
      <c r="B6" s="6"/>
      <c r="C6" s="67"/>
      <c r="D6" s="7"/>
      <c r="E6" s="44" t="s">
        <v>61</v>
      </c>
      <c r="F6" s="46"/>
      <c r="G6" s="230">
        <f>-(NPV(Inputs!C19,D20:AB20)+C20)</f>
        <v>-24762771.595467877</v>
      </c>
    </row>
    <row r="7" spans="2:28" x14ac:dyDescent="0.2">
      <c r="B7" s="6" t="s">
        <v>64</v>
      </c>
      <c r="C7" s="125">
        <v>15</v>
      </c>
      <c r="D7" s="7"/>
      <c r="E7" s="44" t="s">
        <v>60</v>
      </c>
      <c r="F7" s="45"/>
      <c r="G7" s="231">
        <f>NPV(Inputs!C19,D22:AB22)+C22</f>
        <v>3228212.8570932313</v>
      </c>
    </row>
    <row r="8" spans="2:28" x14ac:dyDescent="0.2">
      <c r="B8" s="6"/>
      <c r="C8" s="67"/>
      <c r="D8" s="7"/>
      <c r="E8" s="312" t="s">
        <v>57</v>
      </c>
      <c r="F8" s="312"/>
      <c r="G8" s="232">
        <f>-G6/G7</f>
        <v>7.6707369345418366</v>
      </c>
    </row>
    <row r="9" spans="2:28" ht="15" customHeight="1" x14ac:dyDescent="0.2">
      <c r="B9" s="63"/>
      <c r="C9" s="8"/>
      <c r="D9" s="7"/>
    </row>
    <row r="10" spans="2:28" ht="12" customHeight="1" x14ac:dyDescent="0.2">
      <c r="B10" s="10" t="s">
        <v>0</v>
      </c>
      <c r="C10" s="11">
        <v>0</v>
      </c>
      <c r="D10" s="12">
        <f t="shared" ref="D10:AB10" si="0">C10+1</f>
        <v>1</v>
      </c>
      <c r="E10" s="11">
        <f t="shared" si="0"/>
        <v>2</v>
      </c>
      <c r="F10" s="11">
        <f t="shared" si="0"/>
        <v>3</v>
      </c>
      <c r="G10" s="11">
        <f t="shared" si="0"/>
        <v>4</v>
      </c>
      <c r="H10" s="11">
        <f t="shared" si="0"/>
        <v>5</v>
      </c>
      <c r="I10" s="11">
        <f t="shared" si="0"/>
        <v>6</v>
      </c>
      <c r="J10" s="11">
        <f t="shared" si="0"/>
        <v>7</v>
      </c>
      <c r="K10" s="11">
        <f t="shared" si="0"/>
        <v>8</v>
      </c>
      <c r="L10" s="11">
        <f t="shared" si="0"/>
        <v>9</v>
      </c>
      <c r="M10" s="11">
        <f t="shared" si="0"/>
        <v>10</v>
      </c>
      <c r="N10" s="11">
        <f t="shared" si="0"/>
        <v>11</v>
      </c>
      <c r="O10" s="11">
        <f t="shared" si="0"/>
        <v>12</v>
      </c>
      <c r="P10" s="11">
        <f t="shared" si="0"/>
        <v>13</v>
      </c>
      <c r="Q10" s="11">
        <f t="shared" si="0"/>
        <v>14</v>
      </c>
      <c r="R10" s="11">
        <f t="shared" si="0"/>
        <v>15</v>
      </c>
      <c r="S10" s="11">
        <f t="shared" si="0"/>
        <v>16</v>
      </c>
      <c r="T10" s="11">
        <f t="shared" si="0"/>
        <v>17</v>
      </c>
      <c r="U10" s="11">
        <f t="shared" si="0"/>
        <v>18</v>
      </c>
      <c r="V10" s="11">
        <f t="shared" si="0"/>
        <v>19</v>
      </c>
      <c r="W10" s="11">
        <f t="shared" si="0"/>
        <v>20</v>
      </c>
      <c r="X10" s="11">
        <f t="shared" si="0"/>
        <v>21</v>
      </c>
      <c r="Y10" s="11">
        <f t="shared" si="0"/>
        <v>22</v>
      </c>
      <c r="Z10" s="11">
        <f t="shared" si="0"/>
        <v>23</v>
      </c>
      <c r="AA10" s="11">
        <f t="shared" si="0"/>
        <v>24</v>
      </c>
      <c r="AB10" s="11">
        <f t="shared" si="0"/>
        <v>25</v>
      </c>
    </row>
    <row r="11" spans="2:28" s="4" customFormat="1" ht="12" customHeight="1" x14ac:dyDescent="0.2">
      <c r="B11" s="71" t="s">
        <v>6</v>
      </c>
      <c r="C11" s="72"/>
      <c r="D11" s="73">
        <f>IF(D10&gt;Inputs!$C$20,0,1)</f>
        <v>1</v>
      </c>
      <c r="E11" s="73">
        <f>IF(E10&gt;Inputs!$C$20,0,1)</f>
        <v>1</v>
      </c>
      <c r="F11" s="73">
        <f>IF(F10&gt;Inputs!$C$20,0,1)</f>
        <v>1</v>
      </c>
      <c r="G11" s="73">
        <f>IF(G10&gt;Inputs!$C$20,0,1)</f>
        <v>1</v>
      </c>
      <c r="H11" s="73">
        <f>IF(H10&gt;Inputs!$C$20,0,1)</f>
        <v>1</v>
      </c>
      <c r="I11" s="73">
        <f>IF(I10&gt;Inputs!$C$20,0,1)</f>
        <v>1</v>
      </c>
      <c r="J11" s="73">
        <f>IF(J10&gt;Inputs!$C$20,0,1)</f>
        <v>1</v>
      </c>
      <c r="K11" s="73">
        <f>IF(K10&gt;Inputs!$C$20,0,1)</f>
        <v>1</v>
      </c>
      <c r="L11" s="73">
        <f>IF(L10&gt;Inputs!$C$20,0,1)</f>
        <v>1</v>
      </c>
      <c r="M11" s="73">
        <f>IF(M10&gt;Inputs!$C$20,0,1)</f>
        <v>1</v>
      </c>
      <c r="N11" s="73">
        <f>IF(N10&gt;Inputs!$C$20,0,1)</f>
        <v>1</v>
      </c>
      <c r="O11" s="73">
        <f>IF(O10&gt;Inputs!$C$20,0,1)</f>
        <v>1</v>
      </c>
      <c r="P11" s="73">
        <f>IF(P10&gt;Inputs!$C$20,0,1)</f>
        <v>1</v>
      </c>
      <c r="Q11" s="73">
        <f>IF(Q10&gt;Inputs!$C$20,0,1)</f>
        <v>1</v>
      </c>
      <c r="R11" s="73">
        <f>IF(R10&gt;Inputs!$C$20,0,1)</f>
        <v>1</v>
      </c>
      <c r="S11" s="73">
        <f>IF(S10&gt;Inputs!$C$20,0,1)</f>
        <v>1</v>
      </c>
      <c r="T11" s="73">
        <f>IF(T10&gt;Inputs!$C$20,0,1)</f>
        <v>1</v>
      </c>
      <c r="U11" s="73">
        <f>IF(U10&gt;Inputs!$C$20,0,1)</f>
        <v>1</v>
      </c>
      <c r="V11" s="73">
        <f>IF(V10&gt;Inputs!$C$20,0,1)</f>
        <v>1</v>
      </c>
      <c r="W11" s="73">
        <f>IF(W10&gt;Inputs!$C$20,0,1)</f>
        <v>1</v>
      </c>
      <c r="X11" s="73">
        <f>IF(X10&gt;Inputs!$C$20,0,1)</f>
        <v>0</v>
      </c>
      <c r="Y11" s="73">
        <f>IF(Y10&gt;Inputs!$C$20,0,1)</f>
        <v>0</v>
      </c>
      <c r="Z11" s="73">
        <f>IF(Z10&gt;Inputs!$C$20,0,1)</f>
        <v>0</v>
      </c>
      <c r="AA11" s="73">
        <f>IF(AA10&gt;Inputs!$C$20,0,1)</f>
        <v>0</v>
      </c>
      <c r="AB11" s="73">
        <f>IF(AB10&gt;Inputs!$C$20,0,1)</f>
        <v>0</v>
      </c>
    </row>
    <row r="12" spans="2:28" ht="12" customHeight="1" x14ac:dyDescent="0.2"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2:28" ht="15" customHeight="1" x14ac:dyDescent="0.2">
      <c r="B13" s="19" t="s">
        <v>59</v>
      </c>
      <c r="C13" s="20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2:28" ht="13.5" customHeight="1" x14ac:dyDescent="0.2">
      <c r="B14" s="64" t="s">
        <v>5</v>
      </c>
      <c r="C14" s="22">
        <f>Inputs!J7</f>
        <v>480000</v>
      </c>
      <c r="D14" s="21">
        <f>-IF(Inputs!$C$20=D9,Inputs!J13*C13)</f>
        <v>0</v>
      </c>
      <c r="E14" s="22">
        <f t="shared" ref="E14:AB14" si="1">IF($C$7=F10,$C$14,0)</f>
        <v>0</v>
      </c>
      <c r="F14" s="22">
        <f t="shared" si="1"/>
        <v>0</v>
      </c>
      <c r="G14" s="22">
        <f t="shared" si="1"/>
        <v>0</v>
      </c>
      <c r="H14" s="22">
        <f t="shared" si="1"/>
        <v>0</v>
      </c>
      <c r="I14" s="22">
        <f t="shared" si="1"/>
        <v>0</v>
      </c>
      <c r="J14" s="22">
        <f t="shared" si="1"/>
        <v>0</v>
      </c>
      <c r="K14" s="22">
        <f t="shared" si="1"/>
        <v>0</v>
      </c>
      <c r="L14" s="22">
        <f t="shared" si="1"/>
        <v>0</v>
      </c>
      <c r="M14" s="22">
        <f t="shared" si="1"/>
        <v>0</v>
      </c>
      <c r="N14" s="22">
        <f t="shared" si="1"/>
        <v>0</v>
      </c>
      <c r="O14" s="22">
        <f t="shared" si="1"/>
        <v>0</v>
      </c>
      <c r="P14" s="22">
        <f t="shared" si="1"/>
        <v>0</v>
      </c>
      <c r="Q14" s="22">
        <f t="shared" si="1"/>
        <v>480000</v>
      </c>
      <c r="R14" s="22">
        <f t="shared" si="1"/>
        <v>0</v>
      </c>
      <c r="S14" s="22">
        <f t="shared" si="1"/>
        <v>0</v>
      </c>
      <c r="T14" s="22">
        <f t="shared" si="1"/>
        <v>0</v>
      </c>
      <c r="U14" s="22">
        <f t="shared" si="1"/>
        <v>0</v>
      </c>
      <c r="V14" s="22">
        <f t="shared" si="1"/>
        <v>0</v>
      </c>
      <c r="W14" s="22">
        <f t="shared" si="1"/>
        <v>0</v>
      </c>
      <c r="X14" s="22">
        <f t="shared" si="1"/>
        <v>0</v>
      </c>
      <c r="Y14" s="22">
        <f t="shared" si="1"/>
        <v>0</v>
      </c>
      <c r="Z14" s="22">
        <f t="shared" si="1"/>
        <v>0</v>
      </c>
      <c r="AA14" s="22">
        <f t="shared" si="1"/>
        <v>0</v>
      </c>
      <c r="AB14" s="22">
        <f t="shared" si="1"/>
        <v>0</v>
      </c>
    </row>
    <row r="15" spans="2:28" ht="13.5" customHeight="1" x14ac:dyDescent="0.2">
      <c r="B15" s="64" t="s">
        <v>49</v>
      </c>
      <c r="C15" s="21"/>
      <c r="D15" s="21">
        <f>-IF(Inputs!$C$20=D10,Inputs!$J$14*$C$14)</f>
        <v>0</v>
      </c>
      <c r="E15" s="21">
        <f>-IF(Inputs!$C$20=E10,Inputs!$J$14*$C$14)</f>
        <v>0</v>
      </c>
      <c r="F15" s="21">
        <f>-IF(Inputs!$C$20=F10,Inputs!$J$14*$C$14)</f>
        <v>0</v>
      </c>
      <c r="G15" s="21">
        <f>-IF(Inputs!$C$20=G10,Inputs!$J$14*$C$14)</f>
        <v>0</v>
      </c>
      <c r="H15" s="21">
        <f>-IF(Inputs!$C$20=H10,Inputs!$J$14*$C$14)</f>
        <v>0</v>
      </c>
      <c r="I15" s="21">
        <f>-IF(Inputs!$C$20=I10,Inputs!$J$14*$C$14)</f>
        <v>0</v>
      </c>
      <c r="J15" s="21">
        <f>-IF(Inputs!$C$20=J10,Inputs!$J$14*$C$14)</f>
        <v>0</v>
      </c>
      <c r="K15" s="21">
        <f>-IF(Inputs!$C$20=K10,Inputs!$J$14*$C$14)</f>
        <v>0</v>
      </c>
      <c r="L15" s="21">
        <f>-IF(Inputs!$C$20=L10,Inputs!$J$14*$C$14)</f>
        <v>0</v>
      </c>
      <c r="M15" s="21">
        <f>-IF(Inputs!$C$20=M10,Inputs!$J$14*$C$14)</f>
        <v>0</v>
      </c>
      <c r="N15" s="21">
        <f>-IF(Inputs!$C$20=N10,Inputs!$J$14*$C$14)</f>
        <v>0</v>
      </c>
      <c r="O15" s="21">
        <f>-IF(Inputs!$C$20=O10,Inputs!$J$14*$C$14)</f>
        <v>0</v>
      </c>
      <c r="P15" s="21">
        <f>-IF(Inputs!$C$20=P10,Inputs!$J$14*$C$14)</f>
        <v>0</v>
      </c>
      <c r="Q15" s="21">
        <f>-IF(Inputs!$C$20=Q10,Inputs!$J$14*$C$14)</f>
        <v>0</v>
      </c>
      <c r="R15" s="21">
        <f>-IF(Inputs!$C$20=R10,Inputs!$J$14*$C$14)</f>
        <v>0</v>
      </c>
      <c r="S15" s="21">
        <f>-IF(Inputs!$C$20=S10,Inputs!$J$14*$C$14)</f>
        <v>0</v>
      </c>
      <c r="T15" s="21">
        <f>-IF(Inputs!$C$20=T10,Inputs!$J$14*$C$14)</f>
        <v>0</v>
      </c>
      <c r="U15" s="21">
        <f>-IF(Inputs!$C$20=U10,Inputs!$J$14*$C$14)</f>
        <v>0</v>
      </c>
      <c r="V15" s="21">
        <f>-IF(Inputs!$C$20=V10,Inputs!$J$14*$C$14)</f>
        <v>0</v>
      </c>
      <c r="W15" s="21">
        <f>-IF(Inputs!$C$20=W10,Inputs!$J$14*$C$14)</f>
        <v>-120000</v>
      </c>
      <c r="X15" s="21">
        <f>-IF(Inputs!$C$20=X10,Inputs!$J$14*$C$14)</f>
        <v>0</v>
      </c>
      <c r="Y15" s="21">
        <f>-IF(Inputs!$C$20=Y10,Inputs!$J$14*$C$14)</f>
        <v>0</v>
      </c>
      <c r="Z15" s="21">
        <f>-IF(Inputs!$C$20=Z10,Inputs!$J$14*$C$14)</f>
        <v>0</v>
      </c>
      <c r="AA15" s="21">
        <f>-IF(Inputs!$C$20=AA10,Inputs!$J$14*$C$14)</f>
        <v>0</v>
      </c>
      <c r="AB15" s="21">
        <f>-IF(Inputs!$C$20=AB10,Inputs!$J$14*$C$14)</f>
        <v>0</v>
      </c>
    </row>
    <row r="16" spans="2:28" ht="13.5" customHeight="1" x14ac:dyDescent="0.2">
      <c r="B16" s="64" t="s">
        <v>45</v>
      </c>
      <c r="C16" s="21"/>
      <c r="D16" s="21">
        <f>Inputs!J9</f>
        <v>1500000</v>
      </c>
      <c r="E16" s="21">
        <f>E$11*D16*((Inputs!$J$13)+1)</f>
        <v>1575000</v>
      </c>
      <c r="F16" s="21">
        <f>F$11*E16*((Inputs!$J$13)+1)</f>
        <v>1653750</v>
      </c>
      <c r="G16" s="21">
        <f>G$11*F16*((Inputs!$J$13)+1)</f>
        <v>1736437.5</v>
      </c>
      <c r="H16" s="21">
        <f>H$11*G16*((Inputs!$J$13)+1)</f>
        <v>1823259.375</v>
      </c>
      <c r="I16" s="21">
        <f>I$11*H16*((Inputs!$J$13)+1)</f>
        <v>1914422.34375</v>
      </c>
      <c r="J16" s="21">
        <f>J$11*I16*((Inputs!$J$13)+1)</f>
        <v>2010143.4609375</v>
      </c>
      <c r="K16" s="21">
        <f>K$11*J16*((Inputs!$J$13)+1)</f>
        <v>2110650.6339843753</v>
      </c>
      <c r="L16" s="21">
        <f>L$11*K16*((Inputs!$J$13)+1)</f>
        <v>2216183.1656835941</v>
      </c>
      <c r="M16" s="21">
        <f>M$11*L16*((Inputs!$J$13)+1)</f>
        <v>2326992.3239677739</v>
      </c>
      <c r="N16" s="21">
        <f>N$11*M16*((Inputs!$J$13)+1)</f>
        <v>2443341.9401661628</v>
      </c>
      <c r="O16" s="21">
        <f>O$11*N16*((Inputs!$J$13)+1)</f>
        <v>2565509.0371744712</v>
      </c>
      <c r="P16" s="21">
        <f>P$11*O16*((Inputs!$J$13)+1)</f>
        <v>2693784.4890331947</v>
      </c>
      <c r="Q16" s="21">
        <f>Q$11*P16*((Inputs!$J$13)+1)</f>
        <v>2828473.7134848544</v>
      </c>
      <c r="R16" s="21">
        <f>R$11*Q16*((Inputs!$J$13)+1)</f>
        <v>2969897.3991590971</v>
      </c>
      <c r="S16" s="21">
        <f>S$11*R16*((Inputs!$J$13)+1)</f>
        <v>3118392.2691170522</v>
      </c>
      <c r="T16" s="21">
        <f>T$11*S16*((Inputs!$J$13)+1)</f>
        <v>3274311.8825729052</v>
      </c>
      <c r="U16" s="21">
        <f>U$11*T16*((Inputs!$J$13)+1)</f>
        <v>3438027.4767015507</v>
      </c>
      <c r="V16" s="21">
        <f>V$11*U16*((Inputs!$J$13)+1)</f>
        <v>3609928.8505366282</v>
      </c>
      <c r="W16" s="21">
        <f>W$11*V16*((Inputs!$J$13)+1)</f>
        <v>3790425.2930634599</v>
      </c>
      <c r="X16" s="21">
        <f>X$11*W16*((Inputs!$J$13)+1)</f>
        <v>0</v>
      </c>
      <c r="Y16" s="21">
        <f>Y$11*X16*((Inputs!$J$13)+1)</f>
        <v>0</v>
      </c>
      <c r="Z16" s="21">
        <f>Z$11*Y16*((Inputs!$J$13)+1)</f>
        <v>0</v>
      </c>
      <c r="AA16" s="21">
        <f>AA$11*Z16*((Inputs!$J$13)+1)</f>
        <v>0</v>
      </c>
      <c r="AB16" s="21">
        <f>AB$11*AA16*((Inputs!$J$13)+1)</f>
        <v>0</v>
      </c>
    </row>
    <row r="17" spans="2:28" ht="13.5" customHeight="1" x14ac:dyDescent="0.2">
      <c r="B17" s="194" t="s">
        <v>144</v>
      </c>
      <c r="C17" s="103"/>
      <c r="D17" s="21">
        <f>IF(AND(D10&gt;=Inputs!$C$10,D10&lt;Inputs!$C$11),Inputs!$J$10,IF(AND(D10&gt;=Inputs!$C$11,D10&lt;Inputs!$C$12),Inputs!$J$11,IF(AND(D10&gt;Inputs!$C$11,D10&lt;=Inputs!$C$20),Inputs!$J$12,)))</f>
        <v>0</v>
      </c>
      <c r="E17" s="21">
        <f>IF(AND(E10&gt;=Inputs!$C$10,E10&lt;Inputs!$C$11),Inputs!$J$10,IF(AND(E10&gt;=Inputs!$C$11,E10&lt;Inputs!$C$12),Inputs!$J$11,IF(AND(E10&gt;Inputs!$C$11,E10&lt;=Inputs!$C$20),Inputs!$J$12,)))</f>
        <v>0</v>
      </c>
      <c r="F17" s="21">
        <f>IF(AND(F10&gt;=Inputs!$C$10,F10&lt;Inputs!$C$11),Inputs!$J$10,IF(AND(F10&gt;=Inputs!$C$11,F10&lt;Inputs!$C$12),Inputs!$J$11,IF(AND(F10&gt;Inputs!$C$11,F10&lt;=Inputs!$C$20),Inputs!$J$12,)))</f>
        <v>0</v>
      </c>
      <c r="G17" s="21">
        <f>IF(AND(G10&gt;=Inputs!$C$10,G10&lt;Inputs!$C$11),Inputs!$J$10,IF(AND(G10&gt;=Inputs!$C$11,G10&lt;Inputs!$C$12),Inputs!$J$11,IF(AND(G10&gt;Inputs!$C$11,G10&lt;=Inputs!$C$20),Inputs!$J$12,)))</f>
        <v>0</v>
      </c>
      <c r="H17" s="21">
        <f>IF(AND(H10&gt;=Inputs!$C$10,H10&lt;Inputs!$C$11),Inputs!$J$10,IF(AND(H10&gt;=Inputs!$C$11,H10&lt;Inputs!$C$12),Inputs!$J$11,IF(AND(H10&gt;Inputs!$C$11,H10&lt;=Inputs!$C$20),Inputs!$J$12,)))</f>
        <v>0</v>
      </c>
      <c r="I17" s="21">
        <f>IF(AND(I10&gt;=Inputs!$C$10,I10&lt;Inputs!$C$11),Inputs!$J$10,IF(AND(I10&gt;=Inputs!$C$11,I10&lt;Inputs!$C$12),Inputs!$J$11,IF(AND(I10&gt;Inputs!$C$11,I10&lt;=Inputs!$C$20),Inputs!$J$12,)))</f>
        <v>0</v>
      </c>
      <c r="J17" s="21">
        <f>IF(AND(J10&gt;=Inputs!$C$10,J10&lt;Inputs!$C$11),Inputs!$J$10,IF(AND(J10&gt;=Inputs!$C$11,J10&lt;Inputs!$C$12),Inputs!$J$11,IF(AND(J10&gt;Inputs!$C$11,J10&lt;=Inputs!$C$20),Inputs!$J$12,)))</f>
        <v>0</v>
      </c>
      <c r="K17" s="21">
        <f>IF(AND(K10&gt;=Inputs!$C$10,K10&lt;Inputs!$C$11),Inputs!$J$10,IF(AND(K10&gt;=Inputs!$C$11,K10&lt;Inputs!$C$12),Inputs!$J$11,IF(AND(K10&gt;Inputs!$C$11,K10&lt;=Inputs!$C$20),Inputs!$J$12,)))</f>
        <v>0</v>
      </c>
      <c r="L17" s="21">
        <f>IF(AND(L10&gt;=Inputs!$C$10,L10&lt;Inputs!$C$11),Inputs!$J$10,IF(AND(L10&gt;=Inputs!$C$11,L10&lt;Inputs!$C$12),Inputs!$J$11,IF(AND(L10&gt;Inputs!$C$11,L10&lt;=Inputs!$C$20),Inputs!$J$12,)))</f>
        <v>0</v>
      </c>
      <c r="M17" s="21">
        <f>IF(AND(M10&gt;=Inputs!$C$10,M10&lt;Inputs!$C$11),Inputs!$J$10,IF(AND(M10&gt;=Inputs!$C$11,M10&lt;Inputs!$C$12),Inputs!$J$11,IF(AND(M10&gt;Inputs!$C$11,M10&lt;=Inputs!$C$20),Inputs!$J$12,)))</f>
        <v>0</v>
      </c>
      <c r="N17" s="21">
        <f>IF(AND(N10&gt;=Inputs!$C$10,N10&lt;Inputs!$C$11),Inputs!$J$10,IF(AND(N10&gt;=Inputs!$C$11,N10&lt;Inputs!$C$12),Inputs!$J$11,IF(AND(N10&gt;Inputs!$C$11,N10&lt;=Inputs!$C$20),Inputs!$J$12,)))</f>
        <v>0</v>
      </c>
      <c r="O17" s="21">
        <f>IF(AND(O10&gt;=Inputs!$C$10,O10&lt;Inputs!$C$11),Inputs!$J$10,IF(AND(O10&gt;=Inputs!$C$11,O10&lt;Inputs!$C$12),Inputs!$J$11,IF(AND(O10&gt;Inputs!$C$11,O10&lt;=Inputs!$C$20),Inputs!$J$12,)))</f>
        <v>0</v>
      </c>
      <c r="P17" s="21">
        <f>IF(AND(P10&gt;=Inputs!$C$10,P10&lt;Inputs!$C$11),Inputs!$J$10,IF(AND(P10&gt;=Inputs!$C$11,P10&lt;Inputs!$C$12),Inputs!$J$11,IF(AND(P10&gt;Inputs!$C$11,P10&lt;=Inputs!$C$20),Inputs!$J$12,)))</f>
        <v>0</v>
      </c>
      <c r="Q17" s="21">
        <f>IF(AND(Q10&gt;=Inputs!$C$10,Q10&lt;Inputs!$C$11),Inputs!$J$10,IF(AND(Q10&gt;=Inputs!$C$11,Q10&lt;Inputs!$C$12),Inputs!$J$11,IF(AND(Q10&gt;Inputs!$C$11,Q10&lt;=Inputs!$C$20),Inputs!$J$12,)))</f>
        <v>0</v>
      </c>
      <c r="R17" s="21">
        <f>IF(AND(R10&gt;=Inputs!$C$10,R10&lt;Inputs!$C$11),Inputs!$J$10,IF(AND(R10&gt;=Inputs!$C$11,R10&lt;Inputs!$C$12),Inputs!$J$11,IF(AND(R10&gt;Inputs!$C$11,R10&lt;=Inputs!$C$20),Inputs!$J$12,)))</f>
        <v>0</v>
      </c>
      <c r="S17" s="21">
        <f>IF(AND(S10&gt;=Inputs!$C$10,S10&lt;Inputs!$C$11),Inputs!$J$10,IF(AND(S10&gt;=Inputs!$C$11,S10&lt;Inputs!$C$12),Inputs!$J$11,IF(AND(S10&gt;Inputs!$C$11,S10&lt;=Inputs!$C$20),Inputs!$J$12,)))</f>
        <v>0</v>
      </c>
      <c r="T17" s="21">
        <f>IF(AND(T10&gt;=Inputs!$C$10,T10&lt;Inputs!$C$11),Inputs!$J$10,IF(AND(T10&gt;=Inputs!$C$11,T10&lt;Inputs!$C$12),Inputs!$J$11,IF(AND(T10&gt;Inputs!$C$11,T10&lt;=Inputs!$C$20),Inputs!$J$12,)))</f>
        <v>0</v>
      </c>
      <c r="U17" s="21">
        <f>IF(AND(U10&gt;=Inputs!$C$10,U10&lt;Inputs!$C$11),Inputs!$J$10,IF(AND(U10&gt;=Inputs!$C$11,U10&lt;Inputs!$C$12),Inputs!$J$11,IF(AND(U10&gt;Inputs!$C$11,U10&lt;=Inputs!$C$20),Inputs!$J$12,)))</f>
        <v>0</v>
      </c>
      <c r="V17" s="21">
        <f>IF(AND(V10&gt;=Inputs!$C$10,V10&lt;Inputs!$C$11),Inputs!$J$10,IF(AND(V10&gt;=Inputs!$C$11,V10&lt;Inputs!$C$12),Inputs!$J$11,IF(AND(V10&gt;Inputs!$C$11,V10&lt;=Inputs!$C$20),Inputs!$J$12,)))</f>
        <v>0</v>
      </c>
      <c r="W17" s="21">
        <f>IF(AND(W10&gt;=Inputs!$C$10,W10&lt;Inputs!$C$11),Inputs!$J$10,IF(AND(W10&gt;=Inputs!$C$11,W10&lt;Inputs!$C$12),Inputs!$J$11,IF(AND(W10&gt;Inputs!$C$11,W10&lt;=Inputs!$C$20),Inputs!$J$12,)))</f>
        <v>0</v>
      </c>
      <c r="X17" s="21">
        <f>IF(AND(X10&gt;=Inputs!$C$10,X10&lt;Inputs!$C$11),Inputs!$J$10,IF(AND(X10&gt;=Inputs!$C$11,X10&lt;Inputs!$C$12),Inputs!$J$11,IF(AND(X10&gt;Inputs!$C$11,X10&lt;=Inputs!$C$20),Inputs!$J$12,)))</f>
        <v>0</v>
      </c>
      <c r="Y17" s="21">
        <f>IF(AND(Y10&gt;=Inputs!$C$10,Y10&lt;Inputs!$C$11),Inputs!$J$10,IF(AND(Y10&gt;=Inputs!$C$11,Y10&lt;Inputs!$C$12),Inputs!$J$11,IF(AND(Y10&gt;Inputs!$C$11,Y10&lt;=Inputs!$C$20),Inputs!$J$12,)))</f>
        <v>0</v>
      </c>
      <c r="Z17" s="21">
        <f>IF(AND(Z10&gt;=Inputs!$C$10,Z10&lt;Inputs!$C$11),Inputs!$J$10,IF(AND(Z10&gt;=Inputs!$C$11,Z10&lt;Inputs!$C$12),Inputs!$J$11,IF(AND(Z10&gt;Inputs!$C$11,Z10&lt;=Inputs!$C$20),Inputs!$J$12,)))</f>
        <v>0</v>
      </c>
      <c r="AA17" s="21">
        <f>IF(AND(AA10&gt;=Inputs!$C$10,AA10&lt;Inputs!$C$11),Inputs!$J$10,IF(AND(AA10&gt;=Inputs!$C$11,AA10&lt;Inputs!$C$12),Inputs!$J$11,IF(AND(AA10&gt;Inputs!$C$11,AA10&lt;=Inputs!$C$20),Inputs!$J$12,)))</f>
        <v>0</v>
      </c>
      <c r="AB17" s="21">
        <f>IF(AND(AB10&gt;=Inputs!$C$10,AB10&lt;Inputs!$C$11),Inputs!$J$10,IF(AND(AB10&gt;=Inputs!$C$11,AB10&lt;Inputs!$C$12),Inputs!$J$11,IF(AND(AB10&gt;Inputs!$C$11,AB10&lt;=Inputs!$C$20),Inputs!$J$12,)))</f>
        <v>0</v>
      </c>
    </row>
    <row r="18" spans="2:28" ht="13.5" customHeight="1" x14ac:dyDescent="0.2">
      <c r="B18" s="64" t="s">
        <v>3</v>
      </c>
      <c r="C18" s="21"/>
      <c r="D18" s="21">
        <f>Inputs!J8</f>
        <v>10000</v>
      </c>
      <c r="E18" s="21">
        <f t="shared" ref="E18:AB18" si="2">E$11*D18</f>
        <v>10000</v>
      </c>
      <c r="F18" s="21">
        <f t="shared" si="2"/>
        <v>10000</v>
      </c>
      <c r="G18" s="21">
        <f t="shared" si="2"/>
        <v>10000</v>
      </c>
      <c r="H18" s="21">
        <f t="shared" si="2"/>
        <v>10000</v>
      </c>
      <c r="I18" s="21">
        <f t="shared" si="2"/>
        <v>10000</v>
      </c>
      <c r="J18" s="21">
        <f t="shared" si="2"/>
        <v>10000</v>
      </c>
      <c r="K18" s="21">
        <f t="shared" si="2"/>
        <v>10000</v>
      </c>
      <c r="L18" s="21">
        <f t="shared" si="2"/>
        <v>10000</v>
      </c>
      <c r="M18" s="21">
        <f t="shared" si="2"/>
        <v>10000</v>
      </c>
      <c r="N18" s="21">
        <f t="shared" si="2"/>
        <v>10000</v>
      </c>
      <c r="O18" s="21">
        <f t="shared" si="2"/>
        <v>10000</v>
      </c>
      <c r="P18" s="21">
        <f t="shared" si="2"/>
        <v>10000</v>
      </c>
      <c r="Q18" s="21">
        <f t="shared" si="2"/>
        <v>10000</v>
      </c>
      <c r="R18" s="21">
        <f t="shared" si="2"/>
        <v>10000</v>
      </c>
      <c r="S18" s="21">
        <f t="shared" si="2"/>
        <v>10000</v>
      </c>
      <c r="T18" s="21">
        <f t="shared" si="2"/>
        <v>10000</v>
      </c>
      <c r="U18" s="21">
        <f t="shared" si="2"/>
        <v>10000</v>
      </c>
      <c r="V18" s="21">
        <f t="shared" si="2"/>
        <v>10000</v>
      </c>
      <c r="W18" s="21">
        <f t="shared" si="2"/>
        <v>10000</v>
      </c>
      <c r="X18" s="21">
        <f t="shared" si="2"/>
        <v>0</v>
      </c>
      <c r="Y18" s="21">
        <f t="shared" si="2"/>
        <v>0</v>
      </c>
      <c r="Z18" s="21">
        <f t="shared" si="2"/>
        <v>0</v>
      </c>
      <c r="AA18" s="21">
        <f t="shared" si="2"/>
        <v>0</v>
      </c>
      <c r="AB18" s="21">
        <f t="shared" si="2"/>
        <v>0</v>
      </c>
    </row>
    <row r="19" spans="2:28" s="4" customFormat="1" ht="13.5" customHeight="1" x14ac:dyDescent="0.2">
      <c r="B19" s="66" t="s">
        <v>75</v>
      </c>
      <c r="C19" s="62"/>
      <c r="D19" s="152">
        <f>Inputs!J15+Inputs!J16</f>
        <v>0</v>
      </c>
      <c r="E19" s="152">
        <f>+Inputs!J15</f>
        <v>0</v>
      </c>
      <c r="F19" s="152">
        <f>'Option 1'!F$11*E19</f>
        <v>0</v>
      </c>
      <c r="G19" s="152">
        <f>'Option 1'!G$11*F19</f>
        <v>0</v>
      </c>
      <c r="H19" s="152">
        <f>'Option 1'!H$11*G19</f>
        <v>0</v>
      </c>
      <c r="I19" s="152">
        <f>'Option 1'!I$11*H19</f>
        <v>0</v>
      </c>
      <c r="J19" s="152">
        <f>'Option 1'!J$11*I19</f>
        <v>0</v>
      </c>
      <c r="K19" s="152">
        <f>'Option 1'!K$11*J19</f>
        <v>0</v>
      </c>
      <c r="L19" s="152">
        <f>'Option 1'!L$11*K19</f>
        <v>0</v>
      </c>
      <c r="M19" s="152">
        <f>'Option 1'!M$11*L19</f>
        <v>0</v>
      </c>
      <c r="N19" s="152">
        <f>'Option 1'!N$11*M19</f>
        <v>0</v>
      </c>
      <c r="O19" s="152">
        <f>'Option 1'!O$11*N19</f>
        <v>0</v>
      </c>
      <c r="P19" s="152">
        <f>'Option 1'!P$11*O19</f>
        <v>0</v>
      </c>
      <c r="Q19" s="152">
        <f>'Option 1'!Q$11*P19</f>
        <v>0</v>
      </c>
      <c r="R19" s="152">
        <f>'Option 1'!R$11*Q19</f>
        <v>0</v>
      </c>
      <c r="S19" s="152">
        <f>'Option 1'!S$11*R19</f>
        <v>0</v>
      </c>
      <c r="T19" s="152">
        <f>'Option 1'!T$11*S19</f>
        <v>0</v>
      </c>
      <c r="U19" s="152">
        <f>'Option 1'!U$11*T19</f>
        <v>0</v>
      </c>
      <c r="V19" s="152">
        <f>'Option 1'!V$11*U19</f>
        <v>0</v>
      </c>
      <c r="W19" s="152">
        <f>'Option 1'!W$11*V19</f>
        <v>0</v>
      </c>
      <c r="X19" s="152">
        <f>'Option 1'!X$11*W19</f>
        <v>0</v>
      </c>
      <c r="Y19" s="152">
        <f>'Option 1'!Y$11*X19</f>
        <v>0</v>
      </c>
      <c r="Z19" s="152">
        <f>'Option 1'!Z$11*Y19</f>
        <v>0</v>
      </c>
      <c r="AA19" s="152">
        <f>'Option 1'!AA$11*Z19</f>
        <v>0</v>
      </c>
      <c r="AB19" s="152">
        <f>'Option 1'!AB$11*AA19</f>
        <v>0</v>
      </c>
    </row>
    <row r="20" spans="2:28" s="3" customFormat="1" ht="13.5" customHeight="1" thickBot="1" x14ac:dyDescent="0.25">
      <c r="B20" s="65" t="s">
        <v>46</v>
      </c>
      <c r="C20" s="154">
        <f>SUM(C14:C19)</f>
        <v>480000</v>
      </c>
      <c r="D20" s="153">
        <f>SUM(D14:D19)</f>
        <v>1510000</v>
      </c>
      <c r="E20" s="153">
        <f t="shared" ref="E20:AB20" si="3">SUM(E14:E19)</f>
        <v>1585000</v>
      </c>
      <c r="F20" s="153">
        <f t="shared" si="3"/>
        <v>1663750</v>
      </c>
      <c r="G20" s="153">
        <f t="shared" si="3"/>
        <v>1746437.5</v>
      </c>
      <c r="H20" s="153">
        <f t="shared" si="3"/>
        <v>1833259.375</v>
      </c>
      <c r="I20" s="153">
        <f t="shared" si="3"/>
        <v>1924422.34375</v>
      </c>
      <c r="J20" s="153">
        <f t="shared" si="3"/>
        <v>2020143.4609375</v>
      </c>
      <c r="K20" s="153">
        <f t="shared" si="3"/>
        <v>2120650.6339843753</v>
      </c>
      <c r="L20" s="153">
        <f t="shared" si="3"/>
        <v>2226183.1656835941</v>
      </c>
      <c r="M20" s="153">
        <f t="shared" si="3"/>
        <v>2336992.3239677739</v>
      </c>
      <c r="N20" s="153">
        <f t="shared" si="3"/>
        <v>2453341.9401661628</v>
      </c>
      <c r="O20" s="153">
        <f t="shared" si="3"/>
        <v>2575509.0371744712</v>
      </c>
      <c r="P20" s="153">
        <f t="shared" si="3"/>
        <v>2703784.4890331947</v>
      </c>
      <c r="Q20" s="153">
        <f t="shared" si="3"/>
        <v>3318473.7134848544</v>
      </c>
      <c r="R20" s="153">
        <f t="shared" si="3"/>
        <v>2979897.3991590971</v>
      </c>
      <c r="S20" s="153">
        <f t="shared" si="3"/>
        <v>3128392.2691170522</v>
      </c>
      <c r="T20" s="153">
        <f t="shared" si="3"/>
        <v>3284311.8825729052</v>
      </c>
      <c r="U20" s="153">
        <f t="shared" si="3"/>
        <v>3448027.4767015507</v>
      </c>
      <c r="V20" s="153">
        <f t="shared" si="3"/>
        <v>3619928.8505366282</v>
      </c>
      <c r="W20" s="153">
        <f t="shared" si="3"/>
        <v>3680425.2930634599</v>
      </c>
      <c r="X20" s="153">
        <f t="shared" si="3"/>
        <v>0</v>
      </c>
      <c r="Y20" s="153">
        <f t="shared" si="3"/>
        <v>0</v>
      </c>
      <c r="Z20" s="153">
        <f t="shared" si="3"/>
        <v>0</v>
      </c>
      <c r="AA20" s="153">
        <f t="shared" si="3"/>
        <v>0</v>
      </c>
      <c r="AB20" s="153">
        <f t="shared" si="3"/>
        <v>0</v>
      </c>
    </row>
    <row r="21" spans="2:28" ht="13.5" thickTop="1" x14ac:dyDescent="0.2">
      <c r="B21" s="6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2:28" ht="15" x14ac:dyDescent="0.25">
      <c r="B22" s="28" t="s">
        <v>62</v>
      </c>
      <c r="D22" s="146">
        <f>Fuel!E7</f>
        <v>300000</v>
      </c>
      <c r="E22" s="147">
        <f>E$11*D22</f>
        <v>300000</v>
      </c>
      <c r="F22" s="147">
        <f t="shared" ref="F22:AB22" si="4">F$11*E22</f>
        <v>300000</v>
      </c>
      <c r="G22" s="147">
        <f t="shared" si="4"/>
        <v>300000</v>
      </c>
      <c r="H22" s="147">
        <f t="shared" si="4"/>
        <v>300000</v>
      </c>
      <c r="I22" s="147">
        <f t="shared" si="4"/>
        <v>300000</v>
      </c>
      <c r="J22" s="147">
        <f t="shared" si="4"/>
        <v>300000</v>
      </c>
      <c r="K22" s="147">
        <f t="shared" si="4"/>
        <v>300000</v>
      </c>
      <c r="L22" s="147">
        <f t="shared" si="4"/>
        <v>300000</v>
      </c>
      <c r="M22" s="147">
        <f t="shared" si="4"/>
        <v>300000</v>
      </c>
      <c r="N22" s="147">
        <f t="shared" si="4"/>
        <v>300000</v>
      </c>
      <c r="O22" s="147">
        <f t="shared" si="4"/>
        <v>300000</v>
      </c>
      <c r="P22" s="147">
        <f t="shared" si="4"/>
        <v>300000</v>
      </c>
      <c r="Q22" s="147">
        <f t="shared" si="4"/>
        <v>300000</v>
      </c>
      <c r="R22" s="147">
        <f t="shared" si="4"/>
        <v>300000</v>
      </c>
      <c r="S22" s="147">
        <f t="shared" si="4"/>
        <v>300000</v>
      </c>
      <c r="T22" s="147">
        <f t="shared" si="4"/>
        <v>300000</v>
      </c>
      <c r="U22" s="147">
        <f t="shared" si="4"/>
        <v>300000</v>
      </c>
      <c r="V22" s="147">
        <f t="shared" si="4"/>
        <v>300000</v>
      </c>
      <c r="W22" s="147">
        <f t="shared" si="4"/>
        <v>300000</v>
      </c>
      <c r="X22" s="147">
        <f t="shared" si="4"/>
        <v>0</v>
      </c>
      <c r="Y22" s="147">
        <f t="shared" si="4"/>
        <v>0</v>
      </c>
      <c r="Z22" s="147">
        <f t="shared" si="4"/>
        <v>0</v>
      </c>
      <c r="AA22" s="147">
        <f t="shared" si="4"/>
        <v>0</v>
      </c>
      <c r="AB22" s="148">
        <f t="shared" si="4"/>
        <v>0</v>
      </c>
    </row>
    <row r="24" spans="2:28" x14ac:dyDescent="0.2">
      <c r="B24" s="198" t="s">
        <v>162</v>
      </c>
      <c r="C24" s="218"/>
      <c r="D24" s="220">
        <f t="shared" ref="D24:AB24" si="5">+D16+D17</f>
        <v>1500000</v>
      </c>
      <c r="E24" s="221">
        <f t="shared" si="5"/>
        <v>1575000</v>
      </c>
      <c r="F24" s="221">
        <f t="shared" si="5"/>
        <v>1653750</v>
      </c>
      <c r="G24" s="221">
        <f t="shared" si="5"/>
        <v>1736437.5</v>
      </c>
      <c r="H24" s="221">
        <f t="shared" si="5"/>
        <v>1823259.375</v>
      </c>
      <c r="I24" s="221">
        <f t="shared" si="5"/>
        <v>1914422.34375</v>
      </c>
      <c r="J24" s="221">
        <f t="shared" si="5"/>
        <v>2010143.4609375</v>
      </c>
      <c r="K24" s="221">
        <f t="shared" si="5"/>
        <v>2110650.6339843753</v>
      </c>
      <c r="L24" s="221">
        <f t="shared" si="5"/>
        <v>2216183.1656835941</v>
      </c>
      <c r="M24" s="221">
        <f t="shared" si="5"/>
        <v>2326992.3239677739</v>
      </c>
      <c r="N24" s="221">
        <f t="shared" si="5"/>
        <v>2443341.9401661628</v>
      </c>
      <c r="O24" s="221">
        <f t="shared" si="5"/>
        <v>2565509.0371744712</v>
      </c>
      <c r="P24" s="221">
        <f t="shared" si="5"/>
        <v>2693784.4890331947</v>
      </c>
      <c r="Q24" s="221">
        <f t="shared" si="5"/>
        <v>2828473.7134848544</v>
      </c>
      <c r="R24" s="221">
        <f t="shared" si="5"/>
        <v>2969897.3991590971</v>
      </c>
      <c r="S24" s="221">
        <f t="shared" si="5"/>
        <v>3118392.2691170522</v>
      </c>
      <c r="T24" s="221">
        <f t="shared" si="5"/>
        <v>3274311.8825729052</v>
      </c>
      <c r="U24" s="221">
        <f t="shared" si="5"/>
        <v>3438027.4767015507</v>
      </c>
      <c r="V24" s="221">
        <f t="shared" si="5"/>
        <v>3609928.8505366282</v>
      </c>
      <c r="W24" s="221">
        <f t="shared" si="5"/>
        <v>3790425.2930634599</v>
      </c>
      <c r="X24" s="221">
        <f t="shared" si="5"/>
        <v>0</v>
      </c>
      <c r="Y24" s="221">
        <f t="shared" si="5"/>
        <v>0</v>
      </c>
      <c r="Z24" s="221">
        <f t="shared" si="5"/>
        <v>0</v>
      </c>
      <c r="AA24" s="221">
        <f t="shared" si="5"/>
        <v>0</v>
      </c>
      <c r="AB24" s="222">
        <f t="shared" si="5"/>
        <v>0</v>
      </c>
    </row>
    <row r="25" spans="2:28" x14ac:dyDescent="0.2">
      <c r="K25" s="34"/>
    </row>
    <row r="26" spans="2:28" ht="20.25" hidden="1" x14ac:dyDescent="0.3">
      <c r="B26" s="37" t="s">
        <v>70</v>
      </c>
      <c r="F26" s="157"/>
      <c r="G26" s="38"/>
      <c r="H26" s="4"/>
      <c r="K26" s="41"/>
    </row>
    <row r="27" spans="2:28" ht="15.75" hidden="1" x14ac:dyDescent="0.25">
      <c r="B27" s="4"/>
      <c r="C27" s="36"/>
      <c r="D27" s="4"/>
      <c r="E27" s="35"/>
      <c r="F27" s="39"/>
      <c r="G27" s="40"/>
      <c r="K27" s="41"/>
    </row>
    <row r="28" spans="2:28" ht="15.75" hidden="1" x14ac:dyDescent="0.25">
      <c r="B28" s="4"/>
      <c r="C28" s="36"/>
      <c r="E28" s="35"/>
      <c r="F28" s="38" t="s">
        <v>57</v>
      </c>
      <c r="G28" s="40"/>
      <c r="H28" s="223">
        <v>0.2</v>
      </c>
      <c r="I28" s="224" t="s">
        <v>159</v>
      </c>
      <c r="J28" s="224" t="s">
        <v>160</v>
      </c>
    </row>
    <row r="29" spans="2:28" ht="15.75" hidden="1" x14ac:dyDescent="0.25">
      <c r="B29" s="4"/>
      <c r="C29" s="36" t="s">
        <v>68</v>
      </c>
      <c r="D29" s="42">
        <v>1</v>
      </c>
      <c r="F29" s="109">
        <f>G8</f>
        <v>7.6707369345418366</v>
      </c>
      <c r="G29" s="40"/>
    </row>
    <row r="30" spans="2:28" ht="15.75" hidden="1" x14ac:dyDescent="0.25">
      <c r="B30" s="4"/>
      <c r="C30" s="36"/>
      <c r="D30" s="38" t="s">
        <v>67</v>
      </c>
      <c r="E30" s="35">
        <f>C20*0.9</f>
        <v>432000</v>
      </c>
      <c r="F30" s="109">
        <f t="dataTable" ref="F30:F31" dt2D="0" dtr="0" r1="C20" ca="1"/>
        <v>7.6558680265345682</v>
      </c>
      <c r="G30" s="40"/>
      <c r="H30" s="225">
        <f>-0.2*(NPV(Inputs!C19,D24:AB24)+(C24))</f>
        <v>-4803252.9170450363</v>
      </c>
      <c r="I30" s="226">
        <f>+H30+G6</f>
        <v>-29566024.512512915</v>
      </c>
      <c r="J30" s="226">
        <f>+G6-H30</f>
        <v>-19959518.678422838</v>
      </c>
    </row>
    <row r="31" spans="2:28" ht="15.75" hidden="1" x14ac:dyDescent="0.25">
      <c r="B31" s="4"/>
      <c r="C31" s="36"/>
      <c r="D31" s="38" t="s">
        <v>66</v>
      </c>
      <c r="E31" s="35">
        <f>C20*1.2</f>
        <v>576000</v>
      </c>
      <c r="F31" s="109">
        <v>7.6826320609476513</v>
      </c>
      <c r="G31" s="40"/>
      <c r="H31" s="227">
        <f>0.2*NPV(Inputs!C19,D22:AB22)+C22</f>
        <v>645642.57141864626</v>
      </c>
      <c r="I31" s="226">
        <f>+H31+G7</f>
        <v>3873855.4285118775</v>
      </c>
      <c r="J31" s="228">
        <f>+G7-H31</f>
        <v>2582570.285674585</v>
      </c>
    </row>
    <row r="32" spans="2:28" ht="15.75" hidden="1" x14ac:dyDescent="0.25">
      <c r="B32" s="4"/>
      <c r="C32" s="36"/>
      <c r="D32" s="38"/>
      <c r="E32" s="35"/>
      <c r="F32" s="109"/>
      <c r="G32" s="40"/>
      <c r="I32" s="26">
        <f>-I30/I31</f>
        <v>7.6321961565485053</v>
      </c>
      <c r="J32" s="26">
        <f>-J30/J31</f>
        <v>7.7285481015318336</v>
      </c>
    </row>
    <row r="33" spans="2:8" ht="15.75" hidden="1" x14ac:dyDescent="0.25">
      <c r="B33" s="4"/>
      <c r="C33" s="36"/>
      <c r="D33" s="43"/>
      <c r="F33" s="40"/>
      <c r="G33" s="40"/>
    </row>
    <row r="34" spans="2:8" ht="15.75" hidden="1" x14ac:dyDescent="0.25">
      <c r="B34" s="114"/>
      <c r="C34" s="36" t="s">
        <v>69</v>
      </c>
      <c r="D34" s="43"/>
      <c r="F34" s="61" t="s">
        <v>57</v>
      </c>
      <c r="G34" s="40"/>
    </row>
    <row r="35" spans="2:8" ht="15.75" hidden="1" x14ac:dyDescent="0.25">
      <c r="C35" s="36"/>
      <c r="D35" s="42">
        <v>1</v>
      </c>
      <c r="F35" s="109">
        <f>G8</f>
        <v>7.6707369345418366</v>
      </c>
      <c r="G35" s="40"/>
    </row>
    <row r="36" spans="2:8" ht="15.75" hidden="1" x14ac:dyDescent="0.25">
      <c r="B36" s="3"/>
      <c r="C36" s="36"/>
      <c r="D36" s="38" t="s">
        <v>67</v>
      </c>
      <c r="E36" s="35">
        <f>(D16+D17)*0.9</f>
        <v>1350000</v>
      </c>
      <c r="F36" s="109">
        <f t="dataTable" ref="F36:F37" dt2D="0" dtr="0" r1="D16" ca="1"/>
        <v>6.9267877078836548</v>
      </c>
      <c r="G36" s="39"/>
    </row>
    <row r="37" spans="2:8" ht="15.75" hidden="1" x14ac:dyDescent="0.25">
      <c r="C37" s="36"/>
      <c r="D37" s="38" t="s">
        <v>66</v>
      </c>
      <c r="E37" s="35">
        <f>(D16+D17)*1.2</f>
        <v>1800000</v>
      </c>
      <c r="F37" s="109">
        <v>8.2658963158683836</v>
      </c>
      <c r="G37" s="39"/>
    </row>
    <row r="38" spans="2:8" ht="15.75" hidden="1" x14ac:dyDescent="0.25">
      <c r="C38" s="36"/>
      <c r="G38" s="40"/>
    </row>
    <row r="39" spans="2:8" ht="15.75" hidden="1" x14ac:dyDescent="0.25">
      <c r="C39" s="36" t="s">
        <v>3</v>
      </c>
      <c r="D39" s="39"/>
      <c r="F39" s="40"/>
      <c r="G39" s="40"/>
      <c r="H39" s="26"/>
    </row>
    <row r="40" spans="2:8" hidden="1" x14ac:dyDescent="0.2">
      <c r="D40" s="42">
        <v>1</v>
      </c>
      <c r="F40" s="109">
        <f>G8</f>
        <v>7.6707369345418366</v>
      </c>
      <c r="G40" s="39"/>
      <c r="H40" s="26"/>
    </row>
    <row r="41" spans="2:8" hidden="1" x14ac:dyDescent="0.2">
      <c r="D41" s="38" t="s">
        <v>67</v>
      </c>
      <c r="E41" s="35">
        <f>D18*0.9</f>
        <v>9000</v>
      </c>
      <c r="F41" s="109">
        <f t="dataTable" ref="F41:F42" dt2D="0" dtr="0" r1="D18" ca="1"/>
        <v>7.6674036012085054</v>
      </c>
      <c r="G41" s="39"/>
    </row>
    <row r="42" spans="2:8" hidden="1" x14ac:dyDescent="0.2">
      <c r="D42" s="38" t="s">
        <v>66</v>
      </c>
      <c r="E42" s="35">
        <f>D18*1.2</f>
        <v>12000</v>
      </c>
      <c r="F42" s="109">
        <v>7.6734036012085038</v>
      </c>
      <c r="G42" s="40"/>
    </row>
    <row r="43" spans="2:8" hidden="1" x14ac:dyDescent="0.2"/>
  </sheetData>
  <sheetProtection sheet="1" objects="1" scenarios="1" selectLockedCells="1" selectUnlockedCells="1"/>
  <mergeCells count="1">
    <mergeCell ref="E8:F8"/>
  </mergeCells>
  <pageMargins left="0.74803149606299213" right="0.74803149606299213" top="0.78" bottom="0.49" header="0.33" footer="0.28000000000000003"/>
  <pageSetup paperSize="8" scale="58" orientation="landscape" r:id="rId1"/>
  <headerFooter alignWithMargins="0">
    <oddHeader>&amp;R&amp;G</oddHeader>
    <oddFooter>&amp;L&amp;8&amp;F / &amp;A
Prepared by Energy for Industry&amp;R&amp;8Printed &amp;D &amp;T</oddFooter>
  </headerFooter>
  <ignoredErrors>
    <ignoredError sqref="F41:F42" unlockedFormula="1"/>
  </ignoredError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7">
    <tabColor indexed="28"/>
    <pageSetUpPr fitToPage="1"/>
  </sheetPr>
  <dimension ref="B2:AB45"/>
  <sheetViews>
    <sheetView zoomScaleNormal="100" workbookViewId="0">
      <selection activeCell="A26" sqref="A26:XFD42"/>
    </sheetView>
  </sheetViews>
  <sheetFormatPr defaultRowHeight="12.75" x14ac:dyDescent="0.2"/>
  <cols>
    <col min="1" max="1" width="4.85546875" customWidth="1"/>
    <col min="2" max="2" width="42.7109375" customWidth="1"/>
    <col min="3" max="3" width="17.85546875" customWidth="1"/>
    <col min="4" max="5" width="14.7109375" customWidth="1"/>
    <col min="6" max="6" width="19" customWidth="1"/>
    <col min="7" max="7" width="19.85546875" bestFit="1" customWidth="1"/>
    <col min="8" max="18" width="14.7109375" customWidth="1"/>
    <col min="19" max="23" width="15.140625" bestFit="1" customWidth="1"/>
    <col min="24" max="27" width="14.42578125" customWidth="1"/>
    <col min="28" max="28" width="15.7109375" bestFit="1" customWidth="1"/>
  </cols>
  <sheetData>
    <row r="2" spans="2:28" s="1" customFormat="1" ht="23.1" customHeight="1" x14ac:dyDescent="0.35">
      <c r="B2" s="91" t="s">
        <v>77</v>
      </c>
      <c r="D2" s="2"/>
    </row>
    <row r="3" spans="2:28" s="1" customFormat="1" ht="23.1" customHeight="1" x14ac:dyDescent="0.35">
      <c r="B3" s="91" t="s">
        <v>78</v>
      </c>
      <c r="C3" s="5"/>
      <c r="D3"/>
      <c r="E3"/>
      <c r="F3"/>
      <c r="G3"/>
      <c r="H3"/>
      <c r="I3"/>
    </row>
    <row r="4" spans="2:28" ht="23.1" customHeight="1" x14ac:dyDescent="0.35">
      <c r="B4" s="96" t="s">
        <v>115</v>
      </c>
      <c r="C4" s="91" t="str">
        <f>+Capital!J5</f>
        <v>Coal</v>
      </c>
      <c r="D4" s="6"/>
    </row>
    <row r="5" spans="2:28" x14ac:dyDescent="0.2">
      <c r="B5" s="6" t="s">
        <v>3</v>
      </c>
      <c r="C5" s="67">
        <f>Inputs!K8</f>
        <v>70000</v>
      </c>
      <c r="D5" s="7"/>
    </row>
    <row r="6" spans="2:28" x14ac:dyDescent="0.2">
      <c r="B6" s="6"/>
      <c r="C6" s="67"/>
      <c r="D6" s="7"/>
      <c r="E6" s="44" t="s">
        <v>61</v>
      </c>
      <c r="F6" s="46"/>
      <c r="G6" s="230">
        <f>-(NPV(Inputs!C19,D20:AB20)+C20)</f>
        <v>-104970280.74066851</v>
      </c>
    </row>
    <row r="7" spans="2:28" x14ac:dyDescent="0.2">
      <c r="B7" s="6" t="s">
        <v>2</v>
      </c>
      <c r="C7" s="67">
        <f>Inputs!K7</f>
        <v>5400000</v>
      </c>
      <c r="D7" s="7"/>
      <c r="E7" s="44" t="s">
        <v>60</v>
      </c>
      <c r="F7" s="45"/>
      <c r="G7" s="231">
        <f>NPV(Inputs!C19,D22:AB22)</f>
        <v>3228212.8570932313</v>
      </c>
    </row>
    <row r="8" spans="2:28" x14ac:dyDescent="0.2">
      <c r="B8" s="6"/>
      <c r="C8" s="67"/>
      <c r="D8" s="7"/>
      <c r="E8" s="312" t="s">
        <v>57</v>
      </c>
      <c r="F8" s="312"/>
      <c r="G8" s="232">
        <f>-G6/G7</f>
        <v>32.516530163127641</v>
      </c>
    </row>
    <row r="9" spans="2:28" ht="15" customHeight="1" x14ac:dyDescent="0.2">
      <c r="B9" s="63"/>
      <c r="C9" s="8"/>
      <c r="D9" s="7"/>
    </row>
    <row r="10" spans="2:28" ht="12" customHeight="1" x14ac:dyDescent="0.2">
      <c r="B10" s="10" t="s">
        <v>0</v>
      </c>
      <c r="C10" s="11">
        <v>0</v>
      </c>
      <c r="D10" s="12">
        <f t="shared" ref="D10:AB10" si="0">C10+1</f>
        <v>1</v>
      </c>
      <c r="E10" s="11">
        <f t="shared" si="0"/>
        <v>2</v>
      </c>
      <c r="F10" s="11">
        <f t="shared" si="0"/>
        <v>3</v>
      </c>
      <c r="G10" s="11">
        <f t="shared" si="0"/>
        <v>4</v>
      </c>
      <c r="H10" s="11">
        <f t="shared" si="0"/>
        <v>5</v>
      </c>
      <c r="I10" s="11">
        <f t="shared" si="0"/>
        <v>6</v>
      </c>
      <c r="J10" s="11">
        <f t="shared" si="0"/>
        <v>7</v>
      </c>
      <c r="K10" s="11">
        <f t="shared" si="0"/>
        <v>8</v>
      </c>
      <c r="L10" s="11">
        <f t="shared" si="0"/>
        <v>9</v>
      </c>
      <c r="M10" s="11">
        <f t="shared" si="0"/>
        <v>10</v>
      </c>
      <c r="N10" s="11">
        <f t="shared" si="0"/>
        <v>11</v>
      </c>
      <c r="O10" s="11">
        <f t="shared" si="0"/>
        <v>12</v>
      </c>
      <c r="P10" s="11">
        <f t="shared" si="0"/>
        <v>13</v>
      </c>
      <c r="Q10" s="11">
        <f t="shared" si="0"/>
        <v>14</v>
      </c>
      <c r="R10" s="11">
        <f t="shared" si="0"/>
        <v>15</v>
      </c>
      <c r="S10" s="11">
        <f t="shared" si="0"/>
        <v>16</v>
      </c>
      <c r="T10" s="11">
        <f t="shared" si="0"/>
        <v>17</v>
      </c>
      <c r="U10" s="11">
        <f t="shared" si="0"/>
        <v>18</v>
      </c>
      <c r="V10" s="11">
        <f t="shared" si="0"/>
        <v>19</v>
      </c>
      <c r="W10" s="11">
        <f t="shared" si="0"/>
        <v>20</v>
      </c>
      <c r="X10" s="11">
        <f t="shared" si="0"/>
        <v>21</v>
      </c>
      <c r="Y10" s="11">
        <f t="shared" si="0"/>
        <v>22</v>
      </c>
      <c r="Z10" s="11">
        <f t="shared" si="0"/>
        <v>23</v>
      </c>
      <c r="AA10" s="11">
        <f t="shared" si="0"/>
        <v>24</v>
      </c>
      <c r="AB10" s="11">
        <f t="shared" si="0"/>
        <v>25</v>
      </c>
    </row>
    <row r="11" spans="2:28" s="4" customFormat="1" ht="12" customHeight="1" x14ac:dyDescent="0.2">
      <c r="B11" s="71" t="s">
        <v>6</v>
      </c>
      <c r="C11" s="72"/>
      <c r="D11" s="73">
        <f>IF(D10&gt;Inputs!$C$20,0,1)</f>
        <v>1</v>
      </c>
      <c r="E11" s="73">
        <f>IF(E10&gt;Inputs!$C$20,0,1)</f>
        <v>1</v>
      </c>
      <c r="F11" s="73">
        <f>IF(F10&gt;Inputs!$C$20,0,1)</f>
        <v>1</v>
      </c>
      <c r="G11" s="73">
        <f>IF(G10&gt;Inputs!$C$20,0,1)</f>
        <v>1</v>
      </c>
      <c r="H11" s="73">
        <f>IF(H10&gt;Inputs!$C$20,0,1)</f>
        <v>1</v>
      </c>
      <c r="I11" s="73">
        <f>IF(I10&gt;Inputs!$C$20,0,1)</f>
        <v>1</v>
      </c>
      <c r="J11" s="73">
        <f>IF(J10&gt;Inputs!$C$20,0,1)</f>
        <v>1</v>
      </c>
      <c r="K11" s="73">
        <f>IF(K10&gt;Inputs!$C$20,0,1)</f>
        <v>1</v>
      </c>
      <c r="L11" s="73">
        <f>IF(L10&gt;Inputs!$C$20,0,1)</f>
        <v>1</v>
      </c>
      <c r="M11" s="73">
        <f>IF(M10&gt;Inputs!$C$20,0,1)</f>
        <v>1</v>
      </c>
      <c r="N11" s="73">
        <f>IF(N10&gt;Inputs!$C$20,0,1)</f>
        <v>1</v>
      </c>
      <c r="O11" s="73">
        <f>IF(O10&gt;Inputs!$C$20,0,1)</f>
        <v>1</v>
      </c>
      <c r="P11" s="73">
        <f>IF(P10&gt;Inputs!$C$20,0,1)</f>
        <v>1</v>
      </c>
      <c r="Q11" s="73">
        <f>IF(Q10&gt;Inputs!$C$20,0,1)</f>
        <v>1</v>
      </c>
      <c r="R11" s="73">
        <f>IF(R10&gt;Inputs!$C$20,0,1)</f>
        <v>1</v>
      </c>
      <c r="S11" s="73">
        <f>IF(S10&gt;Inputs!$C$20,0,1)</f>
        <v>1</v>
      </c>
      <c r="T11" s="73">
        <f>IF(T10&gt;Inputs!$C$20,0,1)</f>
        <v>1</v>
      </c>
      <c r="U11" s="73">
        <f>IF(U10&gt;Inputs!$C$20,0,1)</f>
        <v>1</v>
      </c>
      <c r="V11" s="73">
        <f>IF(V10&gt;Inputs!$C$20,0,1)</f>
        <v>1</v>
      </c>
      <c r="W11" s="73">
        <f>IF(W10&gt;Inputs!$C$20,0,1)</f>
        <v>1</v>
      </c>
      <c r="X11" s="73">
        <f>IF(X10&gt;Inputs!$C$20,0,1)</f>
        <v>0</v>
      </c>
      <c r="Y11" s="73">
        <f>IF(Y10&gt;Inputs!$C$20,0,1)</f>
        <v>0</v>
      </c>
      <c r="Z11" s="73">
        <f>IF(Z10&gt;Inputs!$C$20,0,1)</f>
        <v>0</v>
      </c>
      <c r="AA11" s="73">
        <f>IF(AA10&gt;Inputs!$C$20,0,1)</f>
        <v>0</v>
      </c>
      <c r="AB11" s="73">
        <f>IF(AB10&gt;Inputs!$C$20,0,1)</f>
        <v>0</v>
      </c>
    </row>
    <row r="12" spans="2:28" ht="12" customHeight="1" x14ac:dyDescent="0.2"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2:28" ht="15" customHeight="1" x14ac:dyDescent="0.2">
      <c r="B13" s="19" t="s">
        <v>59</v>
      </c>
      <c r="C13" s="20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2:28" ht="13.5" customHeight="1" x14ac:dyDescent="0.2">
      <c r="B14" s="64" t="s">
        <v>5</v>
      </c>
      <c r="C14" s="22">
        <f>Inputs!K7</f>
        <v>5400000</v>
      </c>
      <c r="D14" s="22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2:28" ht="13.5" customHeight="1" x14ac:dyDescent="0.2">
      <c r="B15" s="64" t="s">
        <v>49</v>
      </c>
      <c r="C15" s="21"/>
      <c r="D15" s="21">
        <f>-IF(Inputs!$C$20=D10,Inputs!$K$14*$C$14)</f>
        <v>0</v>
      </c>
      <c r="E15" s="21">
        <f>-IF(Inputs!$C$20=E10,Inputs!$K$14*$C$14)</f>
        <v>0</v>
      </c>
      <c r="F15" s="21">
        <f>-IF(Inputs!$C$20=F10,Inputs!$K$14*$C$14)</f>
        <v>0</v>
      </c>
      <c r="G15" s="21">
        <f>-IF(Inputs!$C$20=G10,Inputs!$K$14*$C$14)</f>
        <v>0</v>
      </c>
      <c r="H15" s="21">
        <f>-IF(Inputs!$C$20=H10,Inputs!$K$14*$C$14)</f>
        <v>0</v>
      </c>
      <c r="I15" s="21">
        <f>-IF(Inputs!$C$20=I10,Inputs!$K$14*$C$14)</f>
        <v>0</v>
      </c>
      <c r="J15" s="21">
        <f>-IF(Inputs!$C$20=J10,Inputs!$K$14*$C$14)</f>
        <v>0</v>
      </c>
      <c r="K15" s="21">
        <f>-IF(Inputs!$C$20=K10,Inputs!$K$14*$C$14)</f>
        <v>0</v>
      </c>
      <c r="L15" s="21">
        <f>-IF(Inputs!$C$20=L10,Inputs!$K$14*$C$14)</f>
        <v>0</v>
      </c>
      <c r="M15" s="21">
        <f>-IF(Inputs!$C$20=M10,Inputs!$K$14*$C$14)</f>
        <v>0</v>
      </c>
      <c r="N15" s="21">
        <f>-IF(Inputs!$C$20=N10,Inputs!$K$14*$C$14)</f>
        <v>0</v>
      </c>
      <c r="O15" s="21">
        <f>-IF(Inputs!$C$20=O10,Inputs!$K$14*$C$14)</f>
        <v>0</v>
      </c>
      <c r="P15" s="21">
        <f>-IF(Inputs!$C$20=P10,Inputs!$K$14*$C$14)</f>
        <v>0</v>
      </c>
      <c r="Q15" s="21">
        <f>-IF(Inputs!$C$20=Q10,Inputs!$K$14*$C$14)</f>
        <v>0</v>
      </c>
      <c r="R15" s="21">
        <f>-IF(Inputs!$C$20=R10,Inputs!$K$14*$C$14)</f>
        <v>0</v>
      </c>
      <c r="S15" s="21">
        <f>-IF(Inputs!$C$20=S10,Inputs!$K$14*$C$14)</f>
        <v>0</v>
      </c>
      <c r="T15" s="21">
        <f>-IF(Inputs!$C$20=T10,Inputs!$K$14*$C$14)</f>
        <v>0</v>
      </c>
      <c r="U15" s="21">
        <f>-IF(Inputs!$C$20=U10,Inputs!$K$14*$C$14)</f>
        <v>0</v>
      </c>
      <c r="V15" s="21">
        <f>-IF(Inputs!$C$20=V10,Inputs!$K$14*$C$14)</f>
        <v>0</v>
      </c>
      <c r="W15" s="21">
        <f>-IF(Inputs!$C$20=W10,Inputs!$K$14*$C$14)</f>
        <v>-1350000</v>
      </c>
      <c r="X15" s="21">
        <f>-IF(Inputs!$C$20=X10,Inputs!$K$14*$C$14)</f>
        <v>0</v>
      </c>
      <c r="Y15" s="21">
        <f>-IF(Inputs!$C$20=Y10,Inputs!$K$14*$C$14)</f>
        <v>0</v>
      </c>
      <c r="Z15" s="21">
        <f>-IF(Inputs!$C$20=Z10,Inputs!$K$14*$C$14)</f>
        <v>0</v>
      </c>
      <c r="AA15" s="21">
        <f>-IF(Inputs!$C$20=AA10,Inputs!$K$14*$C$14)</f>
        <v>0</v>
      </c>
      <c r="AB15" s="21">
        <f>-IF(Inputs!$C$20=AB10,Inputs!$K$14*$C$14)</f>
        <v>0</v>
      </c>
    </row>
    <row r="16" spans="2:28" ht="13.5" customHeight="1" x14ac:dyDescent="0.2">
      <c r="B16" s="64" t="s">
        <v>45</v>
      </c>
      <c r="C16" s="21"/>
      <c r="D16" s="21">
        <f>Inputs!K9</f>
        <v>3200000</v>
      </c>
      <c r="E16" s="21">
        <f>E$11*D16*((Inputs!$K$13)+1)</f>
        <v>3520000.0000000005</v>
      </c>
      <c r="F16" s="21">
        <f>F$11*E16*((Inputs!$K$13)+1)</f>
        <v>3872000.0000000009</v>
      </c>
      <c r="G16" s="21">
        <f>G$11*F16*((Inputs!$K$13)+1)</f>
        <v>4259200.0000000009</v>
      </c>
      <c r="H16" s="21">
        <f>H$11*G16*((Inputs!$K$13)+1)</f>
        <v>4685120.0000000019</v>
      </c>
      <c r="I16" s="21">
        <f>I$11*H16*((Inputs!$K$13)+1)</f>
        <v>5153632.0000000028</v>
      </c>
      <c r="J16" s="21">
        <f>J$11*I16*((Inputs!$K$13)+1)</f>
        <v>5668995.2000000039</v>
      </c>
      <c r="K16" s="21">
        <f>K$11*J16*((Inputs!$K$13)+1)</f>
        <v>6235894.7200000044</v>
      </c>
      <c r="L16" s="21">
        <f>L$11*K16*((Inputs!$K$13)+1)</f>
        <v>6859484.1920000054</v>
      </c>
      <c r="M16" s="21">
        <f>M$11*L16*((Inputs!$K$13)+1)</f>
        <v>7545432.6112000067</v>
      </c>
      <c r="N16" s="21">
        <f>N$11*M16*((Inputs!$K$13)+1)</f>
        <v>8299975.8723200085</v>
      </c>
      <c r="O16" s="21">
        <f>O$11*N16*((Inputs!$K$13)+1)</f>
        <v>9129973.4595520105</v>
      </c>
      <c r="P16" s="21">
        <f>P$11*O16*((Inputs!$K$13)+1)</f>
        <v>10042970.805507213</v>
      </c>
      <c r="Q16" s="21">
        <f>Q$11*P16*((Inputs!$K$13)+1)</f>
        <v>11047267.886057936</v>
      </c>
      <c r="R16" s="21">
        <f>R$11*Q16*((Inputs!$K$13)+1)</f>
        <v>12151994.67466373</v>
      </c>
      <c r="S16" s="21">
        <f>S$11*R16*((Inputs!$K$13)+1)</f>
        <v>13367194.142130105</v>
      </c>
      <c r="T16" s="21">
        <f>T$11*S16*((Inputs!$K$13)+1)</f>
        <v>14703913.556343116</v>
      </c>
      <c r="U16" s="21">
        <f>U$11*T16*((Inputs!$K$13)+1)</f>
        <v>16174304.911977429</v>
      </c>
      <c r="V16" s="21">
        <f>V$11*U16*((Inputs!$K$13)+1)</f>
        <v>17791735.403175171</v>
      </c>
      <c r="W16" s="21">
        <f>W$11*V16*((Inputs!$K$13)+1)</f>
        <v>19570908.943492692</v>
      </c>
      <c r="X16" s="21">
        <f>X$11*W16*((Inputs!$K$13)+1)</f>
        <v>0</v>
      </c>
      <c r="Y16" s="21">
        <f>Y$11*X16*((Inputs!$K$13)+1)</f>
        <v>0</v>
      </c>
      <c r="Z16" s="21">
        <f>Z$11*Y16*((Inputs!$K$13)+1)</f>
        <v>0</v>
      </c>
      <c r="AA16" s="21">
        <f>AA$11*Z16*((Inputs!$K$13)+1)</f>
        <v>0</v>
      </c>
      <c r="AB16" s="21">
        <f>AB$11*AA16*((Inputs!$K$13)+1)</f>
        <v>0</v>
      </c>
    </row>
    <row r="17" spans="2:28" ht="13.5" customHeight="1" x14ac:dyDescent="0.2">
      <c r="B17" s="194" t="s">
        <v>144</v>
      </c>
      <c r="C17" s="103"/>
      <c r="D17" s="21">
        <f>IF(AND(D10&gt;=Inputs!$C$10,D10&lt;Inputs!$C$11),Inputs!$K$10,IF(AND(D10&gt;=Inputs!$C$11,D10&lt;Inputs!$C$12),Inputs!$K$11,IF(AND(D10&gt;Inputs!$C$11,D10&lt;=Inputs!$C$20),Inputs!$K$12,)))</f>
        <v>675000</v>
      </c>
      <c r="E17" s="21">
        <f>IF(AND(E10&gt;=Inputs!$C$10,E10&lt;Inputs!$C$11),Inputs!$K$10,IF(AND(E10&gt;=Inputs!$C$11,E10&lt;Inputs!$C$12),Inputs!$K$11,IF(AND(E10&gt;Inputs!$C$11,E10&lt;=Inputs!$C$20),Inputs!$K$12,)))</f>
        <v>675000</v>
      </c>
      <c r="F17" s="21">
        <f>IF(AND(F10&gt;=Inputs!$C$10,F10&lt;Inputs!$C$11),Inputs!$K$10,IF(AND(F10&gt;=Inputs!$C$11,F10&lt;Inputs!$C$12),Inputs!$K$11,IF(AND(F10&gt;Inputs!$C$11,F10&lt;=Inputs!$C$20),Inputs!$K$12,)))</f>
        <v>675000</v>
      </c>
      <c r="G17" s="21">
        <f>IF(AND(G10&gt;=Inputs!$C$10,G10&lt;Inputs!$C$11),Inputs!$K$10,IF(AND(G10&gt;=Inputs!$C$11,G10&lt;Inputs!$C$12),Inputs!$K$11,IF(AND(G10&gt;Inputs!$C$11,G10&lt;=Inputs!$C$20),Inputs!$K$12,)))</f>
        <v>675000</v>
      </c>
      <c r="H17" s="21">
        <f>IF(AND(H10&gt;=Inputs!$C$10,H10&lt;Inputs!$C$11),Inputs!$K$10,IF(AND(H10&gt;=Inputs!$C$11,H10&lt;Inputs!$C$12),Inputs!$K$11,IF(AND(H10&gt;Inputs!$C$11,H10&lt;=Inputs!$C$20),Inputs!$K$12,)))</f>
        <v>675000</v>
      </c>
      <c r="I17" s="21">
        <f>IF(AND(I10&gt;=Inputs!$C$10,I10&lt;Inputs!$C$11),Inputs!$K$10,IF(AND(I10&gt;=Inputs!$C$11,I10&lt;Inputs!$C$12),Inputs!$K$11,IF(AND(I10&gt;Inputs!$C$11,I10&lt;=Inputs!$C$20),Inputs!$K$12,)))</f>
        <v>1620000</v>
      </c>
      <c r="J17" s="21">
        <f>IF(AND(J10&gt;=Inputs!$C$10,J10&lt;Inputs!$C$11),Inputs!$K$10,IF(AND(J10&gt;=Inputs!$C$11,J10&lt;Inputs!$C$12),Inputs!$K$11,IF(AND(J10&gt;Inputs!$C$11,J10&lt;=Inputs!$C$20),Inputs!$K$12,)))</f>
        <v>1620000</v>
      </c>
      <c r="K17" s="21">
        <f>IF(AND(K10&gt;=Inputs!$C$10,K10&lt;Inputs!$C$11),Inputs!$K$10,IF(AND(K10&gt;=Inputs!$C$11,K10&lt;Inputs!$C$12),Inputs!$K$11,IF(AND(K10&gt;Inputs!$C$11,K10&lt;=Inputs!$C$20),Inputs!$K$12,)))</f>
        <v>1620000</v>
      </c>
      <c r="L17" s="21">
        <f>IF(AND(L10&gt;=Inputs!$C$10,L10&lt;Inputs!$C$11),Inputs!$K$10,IF(AND(L10&gt;=Inputs!$C$11,L10&lt;Inputs!$C$12),Inputs!$K$11,IF(AND(L10&gt;Inputs!$C$11,L10&lt;=Inputs!$C$20),Inputs!$K$12,)))</f>
        <v>1620000</v>
      </c>
      <c r="M17" s="21">
        <f>IF(AND(M10&gt;=Inputs!$C$10,M10&lt;Inputs!$C$11),Inputs!$K$10,IF(AND(M10&gt;=Inputs!$C$11,M10&lt;Inputs!$C$12),Inputs!$K$11,IF(AND(M10&gt;Inputs!$C$11,M10&lt;=Inputs!$C$20),Inputs!$K$12,)))</f>
        <v>1620000</v>
      </c>
      <c r="N17" s="21">
        <f>IF(AND(N10&gt;=Inputs!$C$10,N10&lt;Inputs!$C$11),Inputs!$K$10,IF(AND(N10&gt;=Inputs!$C$11,N10&lt;Inputs!$C$12),Inputs!$K$11,IF(AND(N10&gt;Inputs!$C$11,N10&lt;=Inputs!$C$20),Inputs!$K$12,)))</f>
        <v>1620000</v>
      </c>
      <c r="O17" s="21">
        <f>IF(AND(O10&gt;=Inputs!$C$10,O10&lt;Inputs!$C$11),Inputs!$K$10,IF(AND(O10&gt;=Inputs!$C$11,O10&lt;Inputs!$C$12),Inputs!$K$11,IF(AND(O10&gt;Inputs!$C$11,O10&lt;=Inputs!$C$20),Inputs!$K$12,)))</f>
        <v>3240000</v>
      </c>
      <c r="P17" s="21">
        <f>IF(AND(P10&gt;=Inputs!$C$10,P10&lt;Inputs!$C$11),Inputs!$K$10,IF(AND(P10&gt;=Inputs!$C$11,P10&lt;Inputs!$C$12),Inputs!$K$11,IF(AND(P10&gt;Inputs!$C$11,P10&lt;=Inputs!$C$20),Inputs!$K$12,)))</f>
        <v>3240000</v>
      </c>
      <c r="Q17" s="21">
        <f>IF(AND(Q10&gt;=Inputs!$C$10,Q10&lt;Inputs!$C$11),Inputs!$K$10,IF(AND(Q10&gt;=Inputs!$C$11,Q10&lt;Inputs!$C$12),Inputs!$K$11,IF(AND(Q10&gt;Inputs!$C$11,Q10&lt;=Inputs!$C$20),Inputs!$K$12,)))</f>
        <v>3240000</v>
      </c>
      <c r="R17" s="21">
        <f>IF(AND(R10&gt;=Inputs!$C$10,R10&lt;Inputs!$C$11),Inputs!$K$10,IF(AND(R10&gt;=Inputs!$C$11,R10&lt;Inputs!$C$12),Inputs!$K$11,IF(AND(R10&gt;Inputs!$C$11,R10&lt;=Inputs!$C$20),Inputs!$K$12,)))</f>
        <v>3240000</v>
      </c>
      <c r="S17" s="21">
        <f>IF(AND(S10&gt;=Inputs!$C$10,S10&lt;Inputs!$C$11),Inputs!$K$10,IF(AND(S10&gt;=Inputs!$C$11,S10&lt;Inputs!$C$12),Inputs!$K$11,IF(AND(S10&gt;Inputs!$C$11,S10&lt;=Inputs!$C$20),Inputs!$K$12,)))</f>
        <v>3240000</v>
      </c>
      <c r="T17" s="21">
        <f>IF(AND(T10&gt;=Inputs!$C$10,T10&lt;Inputs!$C$11),Inputs!$K$10,IF(AND(T10&gt;=Inputs!$C$11,T10&lt;Inputs!$C$12),Inputs!$K$11,IF(AND(T10&gt;Inputs!$C$11,T10&lt;=Inputs!$C$20),Inputs!$K$12,)))</f>
        <v>3240000</v>
      </c>
      <c r="U17" s="21">
        <f>IF(AND(U10&gt;=Inputs!$C$10,U10&lt;Inputs!$C$11),Inputs!$K$10,IF(AND(U10&gt;=Inputs!$C$11,U10&lt;Inputs!$C$12),Inputs!$K$11,IF(AND(U10&gt;Inputs!$C$11,U10&lt;=Inputs!$C$20),Inputs!$K$12,)))</f>
        <v>3240000</v>
      </c>
      <c r="V17" s="21">
        <f>IF(AND(V10&gt;=Inputs!$C$10,V10&lt;Inputs!$C$11),Inputs!$K$10,IF(AND(V10&gt;=Inputs!$C$11,V10&lt;Inputs!$C$12),Inputs!$K$11,IF(AND(V10&gt;Inputs!$C$11,V10&lt;=Inputs!$C$20),Inputs!$K$12,)))</f>
        <v>3240000</v>
      </c>
      <c r="W17" s="21">
        <f>IF(AND(W10&gt;=Inputs!$C$10,W10&lt;Inputs!$C$11),Inputs!$K$10,IF(AND(W10&gt;=Inputs!$C$11,W10&lt;Inputs!$C$12),Inputs!$K$11,IF(AND(W10&gt;Inputs!$C$11,W10&lt;=Inputs!$C$20),Inputs!$K$12,)))</f>
        <v>3240000</v>
      </c>
      <c r="X17" s="21">
        <f>IF(AND(X10&gt;=Inputs!$C$10,X10&lt;Inputs!$C$11),Inputs!$K$10,IF(AND(X10&gt;=Inputs!$C$11,X10&lt;Inputs!$C$12),Inputs!$K$11,IF(AND(X10&gt;Inputs!$C$11,X10&lt;=Inputs!$C$20),Inputs!$K$12,)))</f>
        <v>0</v>
      </c>
      <c r="Y17" s="21">
        <f>IF(AND(Y10&gt;=Inputs!$C$10,Y10&lt;Inputs!$C$11),Inputs!$K$10,IF(AND(Y10&gt;=Inputs!$C$11,Y10&lt;Inputs!$C$12),Inputs!$K$11,IF(AND(Y10&gt;Inputs!$C$11,Y10&lt;=Inputs!$C$20),Inputs!$K$12,)))</f>
        <v>0</v>
      </c>
      <c r="Z17" s="21">
        <f>IF(AND(Z10&gt;=Inputs!$C$10,Z10&lt;Inputs!$C$11),Inputs!$K$10,IF(AND(Z10&gt;=Inputs!$C$11,Z10&lt;Inputs!$C$12),Inputs!$K$11,IF(AND(Z10&gt;Inputs!$C$11,Z10&lt;=Inputs!$C$20),Inputs!$K$12,)))</f>
        <v>0</v>
      </c>
      <c r="AA17" s="21">
        <f>IF(AND(AA10&gt;=Inputs!$C$10,AA10&lt;Inputs!$C$11),Inputs!$K$10,IF(AND(AA10&gt;=Inputs!$C$11,AA10&lt;Inputs!$C$12),Inputs!$K$11,IF(AND(AA10&gt;Inputs!$C$11,AA10&lt;=Inputs!$C$20),Inputs!$K$12,)))</f>
        <v>0</v>
      </c>
      <c r="AB17" s="21">
        <f>IF(AND(AB10&gt;=Inputs!$C$10,AB10&lt;Inputs!$C$11),Inputs!$K$10,IF(AND(AB10&gt;=Inputs!$C$11,AB10&lt;Inputs!$C$12),Inputs!$K$11,IF(AND(AB10&gt;Inputs!$C$11,AB10&lt;=Inputs!$C$20),Inputs!$K$12,)))</f>
        <v>0</v>
      </c>
    </row>
    <row r="18" spans="2:28" ht="13.5" customHeight="1" x14ac:dyDescent="0.2">
      <c r="B18" s="64" t="s">
        <v>3</v>
      </c>
      <c r="C18" s="21"/>
      <c r="D18" s="21">
        <f>Inputs!K8</f>
        <v>70000</v>
      </c>
      <c r="E18" s="21">
        <f t="shared" ref="E18:AB18" si="1">E$11*D18</f>
        <v>70000</v>
      </c>
      <c r="F18" s="21">
        <f t="shared" si="1"/>
        <v>70000</v>
      </c>
      <c r="G18" s="21">
        <f t="shared" si="1"/>
        <v>70000</v>
      </c>
      <c r="H18" s="21">
        <f t="shared" si="1"/>
        <v>70000</v>
      </c>
      <c r="I18" s="21">
        <f t="shared" si="1"/>
        <v>70000</v>
      </c>
      <c r="J18" s="21">
        <f t="shared" si="1"/>
        <v>70000</v>
      </c>
      <c r="K18" s="21">
        <f t="shared" si="1"/>
        <v>70000</v>
      </c>
      <c r="L18" s="21">
        <f t="shared" si="1"/>
        <v>70000</v>
      </c>
      <c r="M18" s="21">
        <f t="shared" si="1"/>
        <v>70000</v>
      </c>
      <c r="N18" s="21">
        <f t="shared" si="1"/>
        <v>70000</v>
      </c>
      <c r="O18" s="21">
        <f t="shared" si="1"/>
        <v>70000</v>
      </c>
      <c r="P18" s="21">
        <f t="shared" si="1"/>
        <v>70000</v>
      </c>
      <c r="Q18" s="21">
        <f t="shared" si="1"/>
        <v>70000</v>
      </c>
      <c r="R18" s="21">
        <f t="shared" si="1"/>
        <v>70000</v>
      </c>
      <c r="S18" s="21">
        <f t="shared" si="1"/>
        <v>70000</v>
      </c>
      <c r="T18" s="21">
        <f t="shared" si="1"/>
        <v>70000</v>
      </c>
      <c r="U18" s="21">
        <f t="shared" si="1"/>
        <v>70000</v>
      </c>
      <c r="V18" s="21">
        <f t="shared" si="1"/>
        <v>70000</v>
      </c>
      <c r="W18" s="21">
        <f t="shared" si="1"/>
        <v>70000</v>
      </c>
      <c r="X18" s="21">
        <f t="shared" si="1"/>
        <v>0</v>
      </c>
      <c r="Y18" s="21">
        <f t="shared" si="1"/>
        <v>0</v>
      </c>
      <c r="Z18" s="21">
        <f t="shared" si="1"/>
        <v>0</v>
      </c>
      <c r="AA18" s="21">
        <f t="shared" si="1"/>
        <v>0</v>
      </c>
      <c r="AB18" s="21">
        <f t="shared" si="1"/>
        <v>0</v>
      </c>
    </row>
    <row r="19" spans="2:28" s="4" customFormat="1" ht="13.5" customHeight="1" x14ac:dyDescent="0.2">
      <c r="B19" s="66" t="s">
        <v>75</v>
      </c>
      <c r="C19" s="62"/>
      <c r="D19" s="152">
        <f>Inputs!K15+Inputs!K16</f>
        <v>0</v>
      </c>
      <c r="E19" s="152">
        <f>+Inputs!K15</f>
        <v>0</v>
      </c>
      <c r="F19" s="152">
        <f>'Option 1'!F$11*E19</f>
        <v>0</v>
      </c>
      <c r="G19" s="152">
        <f>'Option 1'!G$11*F19</f>
        <v>0</v>
      </c>
      <c r="H19" s="152">
        <f>'Option 1'!H$11*G19</f>
        <v>0</v>
      </c>
      <c r="I19" s="152">
        <f>'Option 1'!I$11*H19</f>
        <v>0</v>
      </c>
      <c r="J19" s="152">
        <f>'Option 1'!J$11*I19</f>
        <v>0</v>
      </c>
      <c r="K19" s="152">
        <f>'Option 1'!K$11*J19</f>
        <v>0</v>
      </c>
      <c r="L19" s="152">
        <f>'Option 1'!L$11*K19</f>
        <v>0</v>
      </c>
      <c r="M19" s="152">
        <f>'Option 1'!M$11*L19</f>
        <v>0</v>
      </c>
      <c r="N19" s="152">
        <f>'Option 1'!N$11*M19</f>
        <v>0</v>
      </c>
      <c r="O19" s="152">
        <f>'Option 1'!O$11*N19</f>
        <v>0</v>
      </c>
      <c r="P19" s="152">
        <f>'Option 1'!P$11*O19</f>
        <v>0</v>
      </c>
      <c r="Q19" s="152">
        <f>'Option 1'!Q$11*P19</f>
        <v>0</v>
      </c>
      <c r="R19" s="152">
        <f>'Option 1'!R$11*Q19</f>
        <v>0</v>
      </c>
      <c r="S19" s="152">
        <f>'Option 1'!S$11*R19</f>
        <v>0</v>
      </c>
      <c r="T19" s="152">
        <f>'Option 1'!T$11*S19</f>
        <v>0</v>
      </c>
      <c r="U19" s="152">
        <f>'Option 1'!U$11*T19</f>
        <v>0</v>
      </c>
      <c r="V19" s="152">
        <f>'Option 1'!V$11*U19</f>
        <v>0</v>
      </c>
      <c r="W19" s="152">
        <f>'Option 1'!W$11*V19</f>
        <v>0</v>
      </c>
      <c r="X19" s="152">
        <f>'Option 1'!X$11*W19</f>
        <v>0</v>
      </c>
      <c r="Y19" s="152">
        <f>'Option 1'!Y$11*X19</f>
        <v>0</v>
      </c>
      <c r="Z19" s="152">
        <f>'Option 1'!Z$11*Y19</f>
        <v>0</v>
      </c>
      <c r="AA19" s="152">
        <f>'Option 1'!AA$11*Z19</f>
        <v>0</v>
      </c>
      <c r="AB19" s="152">
        <f>'Option 1'!AB$11*AA19</f>
        <v>0</v>
      </c>
    </row>
    <row r="20" spans="2:28" s="3" customFormat="1" ht="13.5" customHeight="1" thickBot="1" x14ac:dyDescent="0.25">
      <c r="B20" s="65" t="s">
        <v>46</v>
      </c>
      <c r="C20" s="153">
        <f>SUM(C14:C19)</f>
        <v>5400000</v>
      </c>
      <c r="D20" s="153">
        <f>SUM(D14:D19)</f>
        <v>3945000</v>
      </c>
      <c r="E20" s="153">
        <f t="shared" ref="E20:AB20" si="2">SUM(E14:E19)</f>
        <v>4265000</v>
      </c>
      <c r="F20" s="153">
        <f t="shared" si="2"/>
        <v>4617000.0000000009</v>
      </c>
      <c r="G20" s="153">
        <f t="shared" si="2"/>
        <v>5004200.0000000009</v>
      </c>
      <c r="H20" s="153">
        <f t="shared" si="2"/>
        <v>5430120.0000000019</v>
      </c>
      <c r="I20" s="153">
        <f t="shared" si="2"/>
        <v>6843632.0000000028</v>
      </c>
      <c r="J20" s="153">
        <f t="shared" si="2"/>
        <v>7358995.2000000039</v>
      </c>
      <c r="K20" s="153">
        <f t="shared" si="2"/>
        <v>7925894.7200000044</v>
      </c>
      <c r="L20" s="153">
        <f t="shared" si="2"/>
        <v>8549484.1920000054</v>
      </c>
      <c r="M20" s="153">
        <f t="shared" si="2"/>
        <v>9235432.6112000067</v>
      </c>
      <c r="N20" s="153">
        <f t="shared" si="2"/>
        <v>9989975.8723200075</v>
      </c>
      <c r="O20" s="153">
        <f t="shared" si="2"/>
        <v>12439973.459552011</v>
      </c>
      <c r="P20" s="153">
        <f t="shared" si="2"/>
        <v>13352970.805507213</v>
      </c>
      <c r="Q20" s="153">
        <f t="shared" si="2"/>
        <v>14357267.886057936</v>
      </c>
      <c r="R20" s="153">
        <f t="shared" si="2"/>
        <v>15461994.67466373</v>
      </c>
      <c r="S20" s="153">
        <f t="shared" si="2"/>
        <v>16677194.142130105</v>
      </c>
      <c r="T20" s="153">
        <f t="shared" si="2"/>
        <v>18013913.556343116</v>
      </c>
      <c r="U20" s="153">
        <f t="shared" si="2"/>
        <v>19484304.911977429</v>
      </c>
      <c r="V20" s="153">
        <f t="shared" si="2"/>
        <v>21101735.403175171</v>
      </c>
      <c r="W20" s="153">
        <f t="shared" si="2"/>
        <v>21530908.943492692</v>
      </c>
      <c r="X20" s="153">
        <f t="shared" si="2"/>
        <v>0</v>
      </c>
      <c r="Y20" s="153">
        <f t="shared" si="2"/>
        <v>0</v>
      </c>
      <c r="Z20" s="153">
        <f t="shared" si="2"/>
        <v>0</v>
      </c>
      <c r="AA20" s="153">
        <f t="shared" si="2"/>
        <v>0</v>
      </c>
      <c r="AB20" s="153">
        <f t="shared" si="2"/>
        <v>0</v>
      </c>
    </row>
    <row r="21" spans="2:28" ht="13.5" thickTop="1" x14ac:dyDescent="0.2">
      <c r="B21" s="6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2:28" ht="15" x14ac:dyDescent="0.25">
      <c r="B22" s="28" t="s">
        <v>62</v>
      </c>
      <c r="D22" s="146">
        <f>Fuel!E7</f>
        <v>300000</v>
      </c>
      <c r="E22" s="147">
        <f>E$11*D22</f>
        <v>300000</v>
      </c>
      <c r="F22" s="147">
        <f t="shared" ref="F22:AB22" si="3">F$11*E22</f>
        <v>300000</v>
      </c>
      <c r="G22" s="147">
        <f t="shared" si="3"/>
        <v>300000</v>
      </c>
      <c r="H22" s="147">
        <f t="shared" si="3"/>
        <v>300000</v>
      </c>
      <c r="I22" s="147">
        <f t="shared" si="3"/>
        <v>300000</v>
      </c>
      <c r="J22" s="147">
        <f t="shared" si="3"/>
        <v>300000</v>
      </c>
      <c r="K22" s="147">
        <f t="shared" si="3"/>
        <v>300000</v>
      </c>
      <c r="L22" s="147">
        <f t="shared" si="3"/>
        <v>300000</v>
      </c>
      <c r="M22" s="147">
        <f t="shared" si="3"/>
        <v>300000</v>
      </c>
      <c r="N22" s="147">
        <f t="shared" si="3"/>
        <v>300000</v>
      </c>
      <c r="O22" s="147">
        <f t="shared" si="3"/>
        <v>300000</v>
      </c>
      <c r="P22" s="147">
        <f t="shared" si="3"/>
        <v>300000</v>
      </c>
      <c r="Q22" s="147">
        <f t="shared" si="3"/>
        <v>300000</v>
      </c>
      <c r="R22" s="147">
        <f t="shared" si="3"/>
        <v>300000</v>
      </c>
      <c r="S22" s="147">
        <f t="shared" si="3"/>
        <v>300000</v>
      </c>
      <c r="T22" s="147">
        <f t="shared" si="3"/>
        <v>300000</v>
      </c>
      <c r="U22" s="147">
        <f t="shared" si="3"/>
        <v>300000</v>
      </c>
      <c r="V22" s="147">
        <f t="shared" si="3"/>
        <v>300000</v>
      </c>
      <c r="W22" s="147">
        <f t="shared" si="3"/>
        <v>300000</v>
      </c>
      <c r="X22" s="147">
        <f t="shared" si="3"/>
        <v>0</v>
      </c>
      <c r="Y22" s="147">
        <f t="shared" si="3"/>
        <v>0</v>
      </c>
      <c r="Z22" s="147">
        <f t="shared" si="3"/>
        <v>0</v>
      </c>
      <c r="AA22" s="147">
        <f t="shared" si="3"/>
        <v>0</v>
      </c>
      <c r="AB22" s="148">
        <f t="shared" si="3"/>
        <v>0</v>
      </c>
    </row>
    <row r="24" spans="2:28" x14ac:dyDescent="0.2">
      <c r="B24" s="198" t="s">
        <v>162</v>
      </c>
      <c r="C24" s="218"/>
      <c r="D24" s="218">
        <f t="shared" ref="D24:AB24" si="4">+D16+D17</f>
        <v>3875000</v>
      </c>
      <c r="E24" s="218">
        <f t="shared" si="4"/>
        <v>4195000</v>
      </c>
      <c r="F24" s="218">
        <f t="shared" si="4"/>
        <v>4547000.0000000009</v>
      </c>
      <c r="G24" s="218">
        <f t="shared" si="4"/>
        <v>4934200.0000000009</v>
      </c>
      <c r="H24" s="218">
        <f t="shared" si="4"/>
        <v>5360120.0000000019</v>
      </c>
      <c r="I24" s="218">
        <f t="shared" si="4"/>
        <v>6773632.0000000028</v>
      </c>
      <c r="J24" s="218">
        <f t="shared" si="4"/>
        <v>7288995.2000000039</v>
      </c>
      <c r="K24" s="218">
        <f t="shared" si="4"/>
        <v>7855894.7200000044</v>
      </c>
      <c r="L24" s="218">
        <f t="shared" si="4"/>
        <v>8479484.1920000054</v>
      </c>
      <c r="M24" s="218">
        <f t="shared" si="4"/>
        <v>9165432.6112000067</v>
      </c>
      <c r="N24" s="218">
        <f t="shared" si="4"/>
        <v>9919975.8723200075</v>
      </c>
      <c r="O24" s="218">
        <f t="shared" si="4"/>
        <v>12369973.459552011</v>
      </c>
      <c r="P24" s="218">
        <f t="shared" si="4"/>
        <v>13282970.805507213</v>
      </c>
      <c r="Q24" s="218">
        <f t="shared" si="4"/>
        <v>14287267.886057936</v>
      </c>
      <c r="R24" s="218">
        <f t="shared" si="4"/>
        <v>15391994.67466373</v>
      </c>
      <c r="S24" s="218">
        <f t="shared" si="4"/>
        <v>16607194.142130105</v>
      </c>
      <c r="T24" s="218">
        <f t="shared" si="4"/>
        <v>17943913.556343116</v>
      </c>
      <c r="U24" s="218">
        <f t="shared" si="4"/>
        <v>19414304.911977429</v>
      </c>
      <c r="V24" s="218">
        <f t="shared" si="4"/>
        <v>21031735.403175171</v>
      </c>
      <c r="W24" s="218">
        <f t="shared" si="4"/>
        <v>22810908.943492692</v>
      </c>
      <c r="X24" s="218">
        <f t="shared" si="4"/>
        <v>0</v>
      </c>
      <c r="Y24" s="218">
        <f t="shared" si="4"/>
        <v>0</v>
      </c>
      <c r="Z24" s="218">
        <f t="shared" si="4"/>
        <v>0</v>
      </c>
      <c r="AA24" s="218">
        <f t="shared" si="4"/>
        <v>0</v>
      </c>
      <c r="AB24" s="218">
        <f t="shared" si="4"/>
        <v>0</v>
      </c>
    </row>
    <row r="26" spans="2:28" ht="20.25" hidden="1" x14ac:dyDescent="0.3">
      <c r="B26" s="37" t="s">
        <v>70</v>
      </c>
      <c r="C26" s="37"/>
    </row>
    <row r="27" spans="2:28" hidden="1" x14ac:dyDescent="0.2">
      <c r="F27" s="157"/>
      <c r="K27" s="34"/>
    </row>
    <row r="28" spans="2:28" ht="15.75" hidden="1" x14ac:dyDescent="0.25">
      <c r="B28" s="4"/>
      <c r="C28" s="36"/>
      <c r="D28" s="4"/>
      <c r="E28" s="35"/>
      <c r="F28" s="39"/>
      <c r="K28" s="41"/>
    </row>
    <row r="29" spans="2:28" ht="15.75" hidden="1" x14ac:dyDescent="0.25">
      <c r="B29" s="4"/>
      <c r="C29" s="36" t="s">
        <v>68</v>
      </c>
      <c r="D29" s="41">
        <v>1</v>
      </c>
      <c r="E29" s="35"/>
      <c r="F29" s="61">
        <f>G8</f>
        <v>32.516530163127641</v>
      </c>
      <c r="G29" s="38"/>
      <c r="H29" s="223">
        <v>0.2</v>
      </c>
      <c r="I29" s="224" t="s">
        <v>159</v>
      </c>
      <c r="J29" s="224" t="s">
        <v>160</v>
      </c>
      <c r="K29" s="41"/>
    </row>
    <row r="30" spans="2:28" ht="15.75" hidden="1" x14ac:dyDescent="0.25">
      <c r="B30" s="4"/>
      <c r="C30" s="36"/>
      <c r="D30" s="38" t="s">
        <v>67</v>
      </c>
      <c r="E30" s="121">
        <f>C20*0.9</f>
        <v>4860000</v>
      </c>
      <c r="F30" s="109">
        <f t="dataTable" ref="F30:F31" dt2D="0" dtr="0" r1="C14" ca="1"/>
        <v>32.360473751816308</v>
      </c>
      <c r="G30" s="40"/>
      <c r="K30" s="41"/>
    </row>
    <row r="31" spans="2:28" ht="15.75" hidden="1" x14ac:dyDescent="0.25">
      <c r="B31" s="4"/>
      <c r="C31" s="36"/>
      <c r="D31" s="38" t="s">
        <v>66</v>
      </c>
      <c r="E31" s="122">
        <f>C20*1.2</f>
        <v>6480000</v>
      </c>
      <c r="F31" s="109">
        <v>32.641375292176704</v>
      </c>
      <c r="G31" s="40"/>
      <c r="H31" s="225">
        <f>-0.2*(NPV(Inputs!C19,D24:AB24)+(C24))</f>
        <v>-19835839.587948579</v>
      </c>
      <c r="I31" s="226">
        <f>+H31+G6</f>
        <v>-124806120.32861708</v>
      </c>
      <c r="J31" s="226">
        <f>+G6-H31</f>
        <v>-85134441.15271993</v>
      </c>
    </row>
    <row r="32" spans="2:28" ht="15.75" hidden="1" x14ac:dyDescent="0.25">
      <c r="B32" s="4"/>
      <c r="C32" s="36"/>
      <c r="D32" s="38"/>
      <c r="E32" s="122"/>
      <c r="F32" s="109"/>
      <c r="G32" s="40"/>
      <c r="H32" s="227">
        <f>0.2*NPV(Inputs!C19,D22:AB22)+C22</f>
        <v>645642.57141864626</v>
      </c>
      <c r="I32" s="226">
        <f>+H32+G7</f>
        <v>3873855.4285118775</v>
      </c>
      <c r="J32" s="228">
        <f>+G7-H32</f>
        <v>2582570.285674585</v>
      </c>
    </row>
    <row r="33" spans="2:10" ht="15.75" hidden="1" x14ac:dyDescent="0.25">
      <c r="B33" s="4"/>
      <c r="C33" s="36"/>
      <c r="D33" s="4"/>
      <c r="E33" s="123"/>
      <c r="F33" s="109"/>
      <c r="G33" s="40"/>
      <c r="I33" s="26">
        <f>-I31/I32</f>
        <v>32.217547255386535</v>
      </c>
      <c r="J33" s="26">
        <f>-J31/J32</f>
        <v>32.965004524739285</v>
      </c>
    </row>
    <row r="34" spans="2:10" ht="15.75" hidden="1" x14ac:dyDescent="0.25">
      <c r="B34" s="4"/>
      <c r="C34" s="36" t="s">
        <v>69</v>
      </c>
      <c r="D34" s="34">
        <v>1</v>
      </c>
      <c r="E34" s="43"/>
      <c r="F34" s="40">
        <f>G8</f>
        <v>32.516530163127641</v>
      </c>
      <c r="G34" s="40"/>
      <c r="H34" s="26"/>
      <c r="I34" s="26"/>
    </row>
    <row r="35" spans="2:10" ht="15.75" hidden="1" x14ac:dyDescent="0.25">
      <c r="B35" s="4"/>
      <c r="C35" s="36"/>
      <c r="D35" s="38" t="s">
        <v>67</v>
      </c>
      <c r="E35" s="120">
        <f>(D16+D17)*0.9</f>
        <v>3487500</v>
      </c>
      <c r="F35" s="40">
        <f t="dataTable" ref="F35:F36" dt2D="0" dtr="0" r1="D16" ca="1"/>
        <v>34.756348029487924</v>
      </c>
      <c r="G35" s="40"/>
    </row>
    <row r="36" spans="2:10" ht="15.75" hidden="1" x14ac:dyDescent="0.25">
      <c r="B36" s="114"/>
      <c r="C36" s="36"/>
      <c r="D36" s="38" t="s">
        <v>66</v>
      </c>
      <c r="E36" s="120">
        <f>(D16+D17)*1.2</f>
        <v>4650000</v>
      </c>
      <c r="F36" s="61">
        <v>46.500784320055374</v>
      </c>
      <c r="G36" s="40"/>
    </row>
    <row r="37" spans="2:10" ht="15.75" hidden="1" x14ac:dyDescent="0.25">
      <c r="C37" s="36"/>
      <c r="D37" s="38"/>
      <c r="E37" s="120"/>
      <c r="F37" s="61"/>
      <c r="G37" s="40"/>
    </row>
    <row r="38" spans="2:10" ht="15.75" hidden="1" x14ac:dyDescent="0.25">
      <c r="B38" s="3"/>
      <c r="C38" s="36"/>
      <c r="D38" s="38"/>
      <c r="E38" s="120"/>
      <c r="F38" s="61"/>
      <c r="G38" s="39"/>
    </row>
    <row r="39" spans="2:10" ht="15.75" hidden="1" x14ac:dyDescent="0.25">
      <c r="C39" s="36" t="s">
        <v>3</v>
      </c>
      <c r="D39" s="34">
        <v>1</v>
      </c>
      <c r="E39" s="120"/>
      <c r="F39" s="61">
        <f>G8</f>
        <v>32.516530163127641</v>
      </c>
      <c r="G39" s="39"/>
    </row>
    <row r="40" spans="2:10" hidden="1" x14ac:dyDescent="0.2">
      <c r="D40" s="38" t="s">
        <v>67</v>
      </c>
      <c r="E40" s="120">
        <f>D18*0.9</f>
        <v>63000</v>
      </c>
      <c r="F40" s="61">
        <f t="dataTable" ref="F40:F41" dt2D="0" dtr="0" r1="D18" ca="1"/>
        <v>32.4931968297943</v>
      </c>
      <c r="G40" s="40"/>
    </row>
    <row r="41" spans="2:10" hidden="1" x14ac:dyDescent="0.2">
      <c r="D41" s="38" t="s">
        <v>66</v>
      </c>
      <c r="E41" s="120">
        <f>D18*1.2</f>
        <v>84000</v>
      </c>
      <c r="F41" s="61">
        <v>32.535196829794302</v>
      </c>
      <c r="G41" s="40"/>
      <c r="H41" s="26"/>
    </row>
    <row r="42" spans="2:10" hidden="1" x14ac:dyDescent="0.2">
      <c r="C42" s="40"/>
      <c r="D42" s="26"/>
    </row>
    <row r="43" spans="2:10" x14ac:dyDescent="0.2">
      <c r="C43" s="39"/>
      <c r="D43" s="26"/>
    </row>
    <row r="44" spans="2:10" x14ac:dyDescent="0.2">
      <c r="C44" s="39"/>
    </row>
    <row r="45" spans="2:10" x14ac:dyDescent="0.2">
      <c r="C45" s="40"/>
    </row>
  </sheetData>
  <sheetProtection sheet="1" objects="1" scenarios="1" selectLockedCells="1" selectUnlockedCells="1"/>
  <mergeCells count="1">
    <mergeCell ref="E8:F8"/>
  </mergeCells>
  <pageMargins left="0.74803149606299213" right="0.74803149606299213" top="0.78" bottom="0.49" header="0.33" footer="0.28000000000000003"/>
  <pageSetup paperSize="8" scale="58" orientation="landscape" r:id="rId1"/>
  <headerFooter alignWithMargins="0">
    <oddHeader>&amp;R&amp;G</oddHeader>
    <oddFooter>&amp;L&amp;8&amp;F / &amp;A
Prepared by Energy for Industry&amp;R&amp;8Printed &amp;D &amp;T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E924603E54B048A906A0405AF01704" ma:contentTypeVersion="8" ma:contentTypeDescription="Create a new document." ma:contentTypeScope="" ma:versionID="c0ee3d78e6a1cee63f1384f1b8d71e17">
  <xsd:schema xmlns:xsd="http://www.w3.org/2001/XMLSchema" xmlns:xs="http://www.w3.org/2001/XMLSchema" xmlns:p="http://schemas.microsoft.com/office/2006/metadata/properties" xmlns:ns2="13fa62b1-51ee-454f-a461-49bfaee09624" xmlns:ns3="2811592b-22f4-46d1-9c78-3e44a1c06d69" targetNamespace="http://schemas.microsoft.com/office/2006/metadata/properties" ma:root="true" ma:fieldsID="4c23589a9ebd17184c11b9801671b3ae" ns2:_="" ns3:_="">
    <xsd:import namespace="13fa62b1-51ee-454f-a461-49bfaee09624"/>
    <xsd:import namespace="2811592b-22f4-46d1-9c78-3e44a1c06d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a62b1-51ee-454f-a461-49bfaee096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1592b-22f4-46d1-9c78-3e44a1c06d6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C19599-7DA1-4BB5-890C-1803FCAD71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fa62b1-51ee-454f-a461-49bfaee09624"/>
    <ds:schemaRef ds:uri="2811592b-22f4-46d1-9c78-3e44a1c06d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E8CD2B-1D1A-46D6-944E-459DD91E1C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EF3DC5-C00C-4DF6-A52D-987A0D89757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3fa62b1-51ee-454f-a461-49bfaee09624"/>
    <ds:schemaRef ds:uri="2811592b-22f4-46d1-9c78-3e44a1c06d69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Introduction</vt:lpstr>
      <vt:lpstr>Capital</vt:lpstr>
      <vt:lpstr>O&amp;M</vt:lpstr>
      <vt:lpstr>Fuel</vt:lpstr>
      <vt:lpstr>Inputs</vt:lpstr>
      <vt:lpstr>Outputs</vt:lpstr>
      <vt:lpstr>Option 1</vt:lpstr>
      <vt:lpstr>Option 2</vt:lpstr>
      <vt:lpstr>Option 3</vt:lpstr>
      <vt:lpstr>Option 4</vt:lpstr>
      <vt:lpstr>Option 5</vt:lpstr>
      <vt:lpstr>Option 6</vt:lpstr>
      <vt:lpstr>Option 7</vt:lpstr>
      <vt:lpstr>Sheet1</vt:lpstr>
      <vt:lpstr>'Option 1'!IRR</vt:lpstr>
      <vt:lpstr>'Option 2'!IRR</vt:lpstr>
      <vt:lpstr>'Option 3'!IRR</vt:lpstr>
      <vt:lpstr>'Option 4'!IRR</vt:lpstr>
      <vt:lpstr>'Option 5'!IRR</vt:lpstr>
      <vt:lpstr>'Option 6'!IRR</vt:lpstr>
      <vt:lpstr>'Option 7'!IRR</vt:lpstr>
      <vt:lpstr>'Option 1'!Print_Area</vt:lpstr>
      <vt:lpstr>'Option 2'!Print_Area</vt:lpstr>
      <vt:lpstr>'Option 3'!Print_Area</vt:lpstr>
      <vt:lpstr>'Option 4'!Print_Area</vt:lpstr>
      <vt:lpstr>'Option 5'!Print_Area</vt:lpstr>
      <vt:lpstr>'Option 6'!Print_Area</vt:lpstr>
      <vt:lpstr>'Option 7'!Print_Area</vt:lpstr>
    </vt:vector>
  </TitlesOfParts>
  <Company>Meridian Solution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Tegel Food Christchurch</dc:title>
  <dc:subject>BOOT Contract Financial DCF analysis</dc:subject>
  <dc:creator>East Harbour Energy</dc:creator>
  <dc:description>.</dc:description>
  <cp:lastModifiedBy>Brian Cox</cp:lastModifiedBy>
  <cp:lastPrinted>2018-09-25T22:09:19Z</cp:lastPrinted>
  <dcterms:created xsi:type="dcterms:W3CDTF">2001-07-21T22:41:16Z</dcterms:created>
  <dcterms:modified xsi:type="dcterms:W3CDTF">2019-03-23T10:03:57Z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0x010100F7E924603E54B048A906A0405AF01704</vt:lpwstr>
  </property>
</Properties>
</file>